
<file path=[Content_Types].xml><?xml version="1.0" encoding="utf-8"?>
<Types xmlns="http://schemas.openxmlformats.org/package/2006/content-types">
  <Default Extension="xml" ContentType="application/xml"/>
  <Default Extension="bin" ContentType="application/vnd.ms-office.vbaProject"/>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codeName="{B7FE6334-C1A2-E50D-BD3D-5F4D41BBC2E3}"/>
  <workbookPr codeName="ThisWorkbook" autoCompressPictures="0"/>
  <bookViews>
    <workbookView xWindow="0" yWindow="0" windowWidth="19440" windowHeight="15600" tabRatio="752"/>
  </bookViews>
  <sheets>
    <sheet name="説明書" sheetId="82" r:id="rId1"/>
    <sheet name="従業者名簿" sheetId="18" r:id="rId2"/>
    <sheet name="給与計算" sheetId="2" r:id="rId3"/>
    <sheet name="給与明細" sheetId="3" r:id="rId4"/>
    <sheet name="賞与計算" sheetId="4" r:id="rId5"/>
    <sheet name="賞与明細" sheetId="5" r:id="rId6"/>
    <sheet name="振替伝票" sheetId="1" r:id="rId7"/>
    <sheet name="保険料額表" sheetId="13" r:id="rId8"/>
    <sheet name="年末調整金種計算" sheetId="12" r:id="rId9"/>
    <sheet name="台帳合計表" sheetId="11" r:id="rId10"/>
    <sheet name="台帳原本" sheetId="19" r:id="rId11"/>
    <sheet name="賞与算出表" sheetId="17" r:id="rId12"/>
    <sheet name="年末調整計算" sheetId="14" r:id="rId13"/>
  </sheets>
  <definedNames>
    <definedName name="_xlnm.Print_Area" localSheetId="2">給与計算!$B$2:$M$31</definedName>
    <definedName name="_xlnm.Print_Area" localSheetId="3">給与明細!$B$3:$AB$33</definedName>
    <definedName name="_xlnm.Print_Area" localSheetId="4">賞与計算!$B$1:$N$28</definedName>
    <definedName name="_xlnm.Print_Area" localSheetId="5">賞与明細!$B$3:$S$31</definedName>
    <definedName name="_xlnm.Print_Area" localSheetId="10">台帳原本!$A$1:$S$44</definedName>
    <definedName name="_xlnm.Print_Area" localSheetId="9">台帳合計表!$A$1:$S$34</definedName>
    <definedName name="_xlnm.Print_Area" localSheetId="8">年末調整金種計算!$A$1:$M$15</definedName>
    <definedName name="_xlnm.Print_Titles" localSheetId="2">給与計算!$B:$B</definedName>
    <definedName name="_xlnm.Print_Titles" localSheetId="4">賞与計算!$K:$K</definedName>
    <definedName name="シート番号">従業者名簿!$A$5</definedName>
    <definedName name="一月">台帳原本!$B$5</definedName>
    <definedName name="夏期">台帳原本!$Q$5</definedName>
    <definedName name="介護保険">台帳原本!$L$3</definedName>
    <definedName name="企業名">従業者名簿!$E$3</definedName>
    <definedName name="基礎年金番号">台帳原本!$L$2</definedName>
    <definedName name="給与エリア">台帳原本!$B$6:$M$34</definedName>
    <definedName name="給与基本位置">給与計算!$B$2</definedName>
    <definedName name="給与合計">台帳合計表!$B$6:$M$34</definedName>
    <definedName name="九月">台帳原本!$J$5</definedName>
    <definedName name="区分">台帳原本!$U$1</definedName>
    <definedName name="健保１">給与計算!$B$72</definedName>
    <definedName name="健保２">給与計算!$B$71</definedName>
    <definedName name="健保３">給与計算!$B$70</definedName>
    <definedName name="雇用保険番号">台帳原本!$L$4</definedName>
    <definedName name="五月">台帳原本!$F$5</definedName>
    <definedName name="合計基本位置">台帳合計表!$A$5</definedName>
    <definedName name="今月">給与計算!$M$73</definedName>
    <definedName name="最終データ">従業者名簿!#REF!</definedName>
    <definedName name="三月">台帳原本!$D$5</definedName>
    <definedName name="四月">台帳原本!$E$5</definedName>
    <definedName name="氏名">台帳原本!$C$1</definedName>
    <definedName name="七月">台帳原本!$H$5</definedName>
    <definedName name="住所１">台帳原本!$D$2</definedName>
    <definedName name="住所２">台帳原本!$D$3</definedName>
    <definedName name="十一月">台帳原本!$L$5</definedName>
    <definedName name="十月">台帳原本!$K$5</definedName>
    <definedName name="十二月">台帳原本!$M$5</definedName>
    <definedName name="従業員番号">台帳原本!$L$1</definedName>
    <definedName name="従業者一覧表">従業者名簿!$A$5:$P$26</definedName>
    <definedName name="処理月１">給与計算!$M$72</definedName>
    <definedName name="処理月２">給与計算!$M$71</definedName>
    <definedName name="処理月３">給与計算!$M$70</definedName>
    <definedName name="処理人数">給与計算!$O$72</definedName>
    <definedName name="処理列数">給与計算!$R$1</definedName>
    <definedName name="賞与エリア">台帳原本!$Q$6:$R$20</definedName>
    <definedName name="賞与基本位置">賞与計算!$B$6</definedName>
    <definedName name="賞与計算エリア">賞与計算!$C$14:$L$28</definedName>
    <definedName name="賞与合計">台帳合計表!$Q$6:$R$20</definedName>
    <definedName name="振込先">台帳原本!$C$4</definedName>
    <definedName name="生年月日">台帳原本!$H$1</definedName>
    <definedName name="先頭データ">従業者名簿!#REF!</definedName>
    <definedName name="総支給額">給与計算!$B$15</definedName>
    <definedName name="台帳基本位置">台帳原本!$A$5</definedName>
    <definedName name="電話番号">台帳原本!$H$2</definedName>
    <definedName name="冬期">台帳原本!$R$5</definedName>
    <definedName name="二月">台帳原本!$C$5</definedName>
    <definedName name="入社日">台帳原本!$N$2</definedName>
    <definedName name="入力行数">従業者名簿!$D$33</definedName>
    <definedName name="年齢">台帳原本!$U$2</definedName>
    <definedName name="八月">台帳原本!$I$5</definedName>
    <definedName name="名簿氏名">従業者名簿!$F$5:$F$26</definedName>
    <definedName name="役職">台帳原本!$E$1</definedName>
    <definedName name="有効数">従業者名簿!$E$33</definedName>
    <definedName name="郵便番号">台帳原本!$C$2</definedName>
    <definedName name="列項目数">従業者名簿!$C$33</definedName>
    <definedName name="六月">台帳原本!$G$5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8" l="1"/>
  <c r="G66" i="2"/>
  <c r="G67" i="2"/>
  <c r="G68" i="2"/>
  <c r="G17" i="2"/>
  <c r="G69" i="2"/>
  <c r="G18" i="2"/>
  <c r="G20" i="2"/>
  <c r="G21" i="2"/>
  <c r="G36" i="2"/>
  <c r="G37" i="2"/>
  <c r="G38" i="2"/>
  <c r="G39" i="2"/>
  <c r="G40" i="2"/>
  <c r="G41" i="2"/>
  <c r="G42" i="2"/>
  <c r="G43" i="2"/>
  <c r="G44" i="2"/>
  <c r="G49" i="2"/>
  <c r="G50" i="2"/>
  <c r="G51" i="2"/>
  <c r="G52" i="2"/>
  <c r="G53" i="2"/>
  <c r="G54" i="2"/>
  <c r="G55" i="2"/>
  <c r="G56" i="2"/>
  <c r="G57" i="2"/>
  <c r="G23" i="2"/>
  <c r="H9" i="18"/>
  <c r="F66" i="2"/>
  <c r="F67" i="2"/>
  <c r="F68" i="2"/>
  <c r="F17" i="2"/>
  <c r="F69" i="2"/>
  <c r="F18" i="2"/>
  <c r="F20" i="2"/>
  <c r="F21" i="2"/>
  <c r="F36" i="2"/>
  <c r="F37" i="2"/>
  <c r="F38" i="2"/>
  <c r="F39" i="2"/>
  <c r="F40" i="2"/>
  <c r="F41" i="2"/>
  <c r="F42" i="2"/>
  <c r="F43" i="2"/>
  <c r="F44" i="2"/>
  <c r="F49" i="2"/>
  <c r="F50" i="2"/>
  <c r="F51" i="2"/>
  <c r="F52" i="2"/>
  <c r="F53" i="2"/>
  <c r="F54" i="2"/>
  <c r="F55" i="2"/>
  <c r="F56" i="2"/>
  <c r="F57" i="2"/>
  <c r="F23" i="2"/>
  <c r="H8" i="18"/>
  <c r="E66" i="2"/>
  <c r="E67" i="2"/>
  <c r="E68" i="2"/>
  <c r="E17" i="2"/>
  <c r="E69" i="2"/>
  <c r="E18" i="2"/>
  <c r="E20" i="2"/>
  <c r="E21" i="2"/>
  <c r="E36" i="2"/>
  <c r="E37" i="2"/>
  <c r="E38" i="2"/>
  <c r="E39" i="2"/>
  <c r="E40" i="2"/>
  <c r="E41" i="2"/>
  <c r="E42" i="2"/>
  <c r="E43" i="2"/>
  <c r="E44" i="2"/>
  <c r="E49" i="2"/>
  <c r="E50" i="2"/>
  <c r="E51" i="2"/>
  <c r="E52" i="2"/>
  <c r="E53" i="2"/>
  <c r="E54" i="2"/>
  <c r="E55" i="2"/>
  <c r="E56" i="2"/>
  <c r="E57" i="2"/>
  <c r="E23" i="2"/>
  <c r="H7" i="18"/>
  <c r="D66" i="2"/>
  <c r="D67" i="2"/>
  <c r="D68" i="2"/>
  <c r="D17" i="2"/>
  <c r="D69" i="2"/>
  <c r="D18" i="2"/>
  <c r="D20" i="2"/>
  <c r="D21" i="2"/>
  <c r="D36" i="2"/>
  <c r="D37" i="2"/>
  <c r="D38" i="2"/>
  <c r="D39" i="2"/>
  <c r="D40" i="2"/>
  <c r="D41" i="2"/>
  <c r="D42" i="2"/>
  <c r="D43" i="2"/>
  <c r="D44" i="2"/>
  <c r="D49" i="2"/>
  <c r="D50" i="2"/>
  <c r="D51" i="2"/>
  <c r="D52" i="2"/>
  <c r="D53" i="2"/>
  <c r="D54" i="2"/>
  <c r="D55" i="2"/>
  <c r="D56" i="2"/>
  <c r="D57" i="2"/>
  <c r="D23" i="2"/>
  <c r="H6" i="18"/>
  <c r="C66" i="2"/>
  <c r="C67" i="2"/>
  <c r="C68" i="2"/>
  <c r="C17" i="2"/>
  <c r="C69" i="2"/>
  <c r="C18" i="2"/>
  <c r="C20" i="2"/>
  <c r="C21" i="2"/>
  <c r="C36" i="2"/>
  <c r="C37" i="2"/>
  <c r="C38" i="2"/>
  <c r="C39" i="2"/>
  <c r="C40" i="2"/>
  <c r="C41" i="2"/>
  <c r="C42" i="2"/>
  <c r="C43" i="2"/>
  <c r="C44" i="2"/>
  <c r="C49" i="2"/>
  <c r="C50" i="2"/>
  <c r="C51" i="2"/>
  <c r="C52" i="2"/>
  <c r="C53" i="2"/>
  <c r="C54" i="2"/>
  <c r="C55" i="2"/>
  <c r="C56" i="2"/>
  <c r="C57" i="2"/>
  <c r="C23" i="2"/>
  <c r="G2" i="2"/>
  <c r="I5" i="13"/>
  <c r="I13" i="13"/>
  <c r="F2" i="2"/>
  <c r="I18" i="13"/>
  <c r="E2" i="2"/>
  <c r="I17" i="13"/>
  <c r="D2" i="2"/>
  <c r="I22" i="13"/>
  <c r="C2" i="2"/>
  <c r="I27" i="13"/>
  <c r="G5" i="13"/>
  <c r="G13" i="13"/>
  <c r="G18" i="13"/>
  <c r="G17" i="13"/>
  <c r="O68" i="2"/>
  <c r="G22" i="13"/>
  <c r="H5" i="13"/>
  <c r="H27" i="13"/>
  <c r="L77" i="2"/>
  <c r="L10" i="2"/>
  <c r="L13" i="2"/>
  <c r="L15" i="2"/>
  <c r="L60" i="2"/>
  <c r="K77" i="2"/>
  <c r="K10" i="2"/>
  <c r="K13" i="2"/>
  <c r="K15" i="2"/>
  <c r="K60" i="2"/>
  <c r="J10" i="2"/>
  <c r="J13" i="2"/>
  <c r="J15" i="2"/>
  <c r="J77" i="2"/>
  <c r="J60" i="2"/>
  <c r="I10" i="2"/>
  <c r="I13" i="2"/>
  <c r="I15" i="2"/>
  <c r="I77" i="2"/>
  <c r="I60" i="2"/>
  <c r="H10" i="2"/>
  <c r="H13" i="2"/>
  <c r="H15" i="2"/>
  <c r="H77" i="2"/>
  <c r="H60" i="2"/>
  <c r="G10" i="2"/>
  <c r="G13" i="2"/>
  <c r="G15" i="2"/>
  <c r="G77" i="2"/>
  <c r="G60" i="2"/>
  <c r="F10" i="2"/>
  <c r="F13" i="2"/>
  <c r="F15" i="2"/>
  <c r="F77" i="2"/>
  <c r="F60" i="2"/>
  <c r="E10" i="2"/>
  <c r="E13" i="2"/>
  <c r="E15" i="2"/>
  <c r="E77" i="2"/>
  <c r="E60" i="2"/>
  <c r="D10" i="2"/>
  <c r="D13" i="2"/>
  <c r="D15" i="2"/>
  <c r="D77" i="2"/>
  <c r="D60" i="2"/>
  <c r="C10" i="2"/>
  <c r="C13" i="2"/>
  <c r="C15" i="2"/>
  <c r="C77" i="2"/>
  <c r="C60" i="2"/>
  <c r="L2" i="2"/>
  <c r="K2" i="2"/>
  <c r="J2" i="2"/>
  <c r="I2" i="2"/>
  <c r="H2" i="2"/>
  <c r="L66" i="2"/>
  <c r="L67" i="2"/>
  <c r="L68" i="2"/>
  <c r="K66" i="2"/>
  <c r="K67" i="2"/>
  <c r="K68" i="2"/>
  <c r="J66" i="2"/>
  <c r="J67" i="2"/>
  <c r="J68" i="2"/>
  <c r="I66" i="2"/>
  <c r="I67" i="2"/>
  <c r="I68" i="2"/>
  <c r="H66" i="2"/>
  <c r="H67" i="2"/>
  <c r="G27" i="13"/>
  <c r="H68" i="2"/>
  <c r="I39" i="13"/>
  <c r="I38" i="13"/>
  <c r="I37" i="13"/>
  <c r="I36" i="13"/>
  <c r="I35" i="13"/>
  <c r="I34" i="13"/>
  <c r="I33" i="13"/>
  <c r="I32" i="13"/>
  <c r="I31" i="13"/>
  <c r="I30" i="13"/>
  <c r="I29" i="13"/>
  <c r="I28" i="13"/>
  <c r="I26" i="13"/>
  <c r="I25" i="13"/>
  <c r="I24" i="13"/>
  <c r="I23" i="13"/>
  <c r="I21" i="13"/>
  <c r="I20" i="13"/>
  <c r="I19" i="13"/>
  <c r="I16" i="13"/>
  <c r="I15" i="13"/>
  <c r="I14" i="13"/>
  <c r="I12" i="13"/>
  <c r="I11" i="13"/>
  <c r="I10"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6" i="13"/>
  <c r="H25" i="13"/>
  <c r="H24" i="13"/>
  <c r="H23" i="13"/>
  <c r="H22" i="13"/>
  <c r="H21" i="13"/>
  <c r="H20" i="13"/>
  <c r="H19" i="13"/>
  <c r="H18" i="13"/>
  <c r="H17" i="13"/>
  <c r="H16" i="13"/>
  <c r="H15" i="13"/>
  <c r="H14" i="13"/>
  <c r="H13" i="13"/>
  <c r="H12" i="13"/>
  <c r="H11" i="13"/>
  <c r="H10" i="13"/>
  <c r="H9" i="13"/>
  <c r="H8" i="13"/>
  <c r="H7" i="13"/>
  <c r="H6"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6" i="13"/>
  <c r="G25" i="13"/>
  <c r="G24" i="13"/>
  <c r="G23" i="13"/>
  <c r="G21" i="13"/>
  <c r="G20" i="13"/>
  <c r="G19" i="13"/>
  <c r="G16" i="13"/>
  <c r="G15" i="13"/>
  <c r="G14" i="13"/>
  <c r="G12" i="13"/>
  <c r="G11" i="13"/>
  <c r="G10" i="13"/>
  <c r="G9" i="13"/>
  <c r="G8" i="13"/>
  <c r="G7" i="13"/>
  <c r="G6" i="13"/>
  <c r="A1" i="11"/>
  <c r="M61" i="2"/>
  <c r="C61" i="2"/>
  <c r="C19" i="2"/>
  <c r="L69" i="2"/>
  <c r="K69" i="2"/>
  <c r="J69" i="2"/>
  <c r="I69" i="2"/>
  <c r="H69" i="2"/>
  <c r="E61" i="2"/>
  <c r="L61" i="2"/>
  <c r="L19" i="2"/>
  <c r="L17" i="2"/>
  <c r="L18" i="2"/>
  <c r="L20" i="2"/>
  <c r="L21" i="2"/>
  <c r="L36" i="2"/>
  <c r="L37" i="2"/>
  <c r="L38" i="2"/>
  <c r="L39" i="2"/>
  <c r="L40" i="2"/>
  <c r="L41" i="2"/>
  <c r="L42" i="2"/>
  <c r="L43" i="2"/>
  <c r="L44" i="2"/>
  <c r="K61" i="2"/>
  <c r="K19" i="2"/>
  <c r="K17" i="2"/>
  <c r="K18" i="2"/>
  <c r="K20" i="2"/>
  <c r="K21" i="2"/>
  <c r="K36" i="2"/>
  <c r="K37" i="2"/>
  <c r="K38" i="2"/>
  <c r="K39" i="2"/>
  <c r="K40" i="2"/>
  <c r="K41" i="2"/>
  <c r="K42" i="2"/>
  <c r="K43" i="2"/>
  <c r="K44" i="2"/>
  <c r="J61" i="2"/>
  <c r="J19" i="2"/>
  <c r="J17" i="2"/>
  <c r="J18" i="2"/>
  <c r="J20" i="2"/>
  <c r="J21" i="2"/>
  <c r="J36" i="2"/>
  <c r="J37" i="2"/>
  <c r="J38" i="2"/>
  <c r="J39" i="2"/>
  <c r="J40" i="2"/>
  <c r="J41" i="2"/>
  <c r="J42" i="2"/>
  <c r="J43" i="2"/>
  <c r="J44" i="2"/>
  <c r="I61" i="2"/>
  <c r="I19" i="2"/>
  <c r="I17" i="2"/>
  <c r="I18" i="2"/>
  <c r="I20" i="2"/>
  <c r="I21" i="2"/>
  <c r="I36" i="2"/>
  <c r="I37" i="2"/>
  <c r="I38" i="2"/>
  <c r="I39" i="2"/>
  <c r="I40" i="2"/>
  <c r="I41" i="2"/>
  <c r="I42" i="2"/>
  <c r="I43" i="2"/>
  <c r="I44" i="2"/>
  <c r="H61" i="2"/>
  <c r="H19" i="2"/>
  <c r="H17" i="2"/>
  <c r="H18" i="2"/>
  <c r="H20" i="2"/>
  <c r="H21" i="2"/>
  <c r="H36" i="2"/>
  <c r="H37" i="2"/>
  <c r="H38" i="2"/>
  <c r="H39" i="2"/>
  <c r="H40" i="2"/>
  <c r="H41" i="2"/>
  <c r="H42" i="2"/>
  <c r="H43" i="2"/>
  <c r="H44" i="2"/>
  <c r="G61" i="2"/>
  <c r="G19" i="2"/>
  <c r="F61" i="2"/>
  <c r="F19" i="2"/>
  <c r="E19" i="2"/>
  <c r="D61" i="2"/>
  <c r="D19" i="2"/>
  <c r="L31" i="4"/>
  <c r="L6" i="4"/>
  <c r="L14" i="4"/>
  <c r="K31" i="4"/>
  <c r="K6" i="4"/>
  <c r="K14" i="4"/>
  <c r="J31" i="4"/>
  <c r="J6" i="4"/>
  <c r="J14" i="4"/>
  <c r="I31" i="4"/>
  <c r="I6" i="4"/>
  <c r="I14" i="4"/>
  <c r="H31" i="4"/>
  <c r="H6" i="4"/>
  <c r="H14" i="4"/>
  <c r="G31" i="4"/>
  <c r="G6" i="4"/>
  <c r="G14" i="4"/>
  <c r="F31" i="4"/>
  <c r="F6" i="4"/>
  <c r="F14" i="4"/>
  <c r="E31" i="4"/>
  <c r="E6" i="4"/>
  <c r="E14" i="4"/>
  <c r="D31" i="4"/>
  <c r="D6" i="4"/>
  <c r="D14" i="4"/>
  <c r="C31" i="4"/>
  <c r="C6" i="4"/>
  <c r="C14" i="4"/>
  <c r="C33" i="18"/>
  <c r="C46" i="2"/>
  <c r="C47" i="2"/>
  <c r="D46" i="2"/>
  <c r="D47" i="2"/>
  <c r="E46" i="2"/>
  <c r="E47" i="2"/>
  <c r="F46" i="2"/>
  <c r="F47" i="2"/>
  <c r="G46" i="2"/>
  <c r="G47" i="2"/>
  <c r="H46" i="2"/>
  <c r="H47" i="2"/>
  <c r="H49" i="2"/>
  <c r="I46" i="2"/>
  <c r="I47" i="2"/>
  <c r="I49" i="2"/>
  <c r="J46" i="2"/>
  <c r="J47" i="2"/>
  <c r="J49" i="2"/>
  <c r="K46" i="2"/>
  <c r="K47" i="2"/>
  <c r="K49" i="2"/>
  <c r="L46" i="2"/>
  <c r="L47" i="2"/>
  <c r="L49" i="2"/>
  <c r="L56" i="2"/>
  <c r="K56" i="2"/>
  <c r="J56" i="2"/>
  <c r="I56" i="2"/>
  <c r="H56" i="2"/>
  <c r="L55" i="2"/>
  <c r="K55" i="2"/>
  <c r="J55" i="2"/>
  <c r="I55" i="2"/>
  <c r="H55" i="2"/>
  <c r="N55" i="2"/>
  <c r="L54" i="2"/>
  <c r="K54" i="2"/>
  <c r="J54" i="2"/>
  <c r="I54" i="2"/>
  <c r="H54" i="2"/>
  <c r="C44" i="14"/>
  <c r="N54" i="2"/>
  <c r="L53" i="2"/>
  <c r="K53" i="2"/>
  <c r="J53" i="2"/>
  <c r="I53" i="2"/>
  <c r="H53" i="2"/>
  <c r="C43" i="14"/>
  <c r="N53" i="2"/>
  <c r="L52" i="2"/>
  <c r="K52" i="2"/>
  <c r="J52" i="2"/>
  <c r="I52" i="2"/>
  <c r="H52" i="2"/>
  <c r="C42" i="14"/>
  <c r="N52" i="2"/>
  <c r="L51" i="2"/>
  <c r="K51" i="2"/>
  <c r="J51" i="2"/>
  <c r="I51" i="2"/>
  <c r="H51" i="2"/>
  <c r="C41" i="14"/>
  <c r="N51" i="2"/>
  <c r="L50" i="2"/>
  <c r="K50" i="2"/>
  <c r="J50" i="2"/>
  <c r="I50" i="2"/>
  <c r="H50" i="2"/>
  <c r="C40" i="14"/>
  <c r="N50" i="2"/>
  <c r="L57" i="2"/>
  <c r="K57" i="2"/>
  <c r="J57" i="2"/>
  <c r="I57" i="2"/>
  <c r="H57" i="2"/>
  <c r="B2" i="2"/>
  <c r="H25" i="18"/>
  <c r="H24" i="18"/>
  <c r="H23" i="18"/>
  <c r="H22" i="18"/>
  <c r="H21" i="18"/>
  <c r="H20" i="18"/>
  <c r="H19" i="18"/>
  <c r="H18" i="18"/>
  <c r="H17" i="18"/>
  <c r="H16" i="18"/>
  <c r="H62" i="4"/>
  <c r="H63" i="4"/>
  <c r="H64" i="4"/>
  <c r="G62" i="4"/>
  <c r="G63" i="4"/>
  <c r="G64" i="4"/>
  <c r="F62" i="4"/>
  <c r="F63" i="4"/>
  <c r="F64" i="4"/>
  <c r="H3" i="4"/>
  <c r="H4" i="4"/>
  <c r="H7" i="4"/>
  <c r="H15" i="4"/>
  <c r="H10" i="4"/>
  <c r="H16" i="4"/>
  <c r="H17" i="4"/>
  <c r="H57" i="4"/>
  <c r="R58" i="4"/>
  <c r="H59" i="4"/>
  <c r="R56" i="4"/>
  <c r="R57" i="4"/>
  <c r="H58" i="4"/>
  <c r="G7" i="4"/>
  <c r="G15" i="4"/>
  <c r="G10" i="4"/>
  <c r="G16" i="4"/>
  <c r="G17" i="4"/>
  <c r="G57" i="4"/>
  <c r="G59" i="4"/>
  <c r="G58" i="4"/>
  <c r="F7" i="4"/>
  <c r="F15" i="4"/>
  <c r="F10" i="4"/>
  <c r="F16" i="4"/>
  <c r="F17" i="4"/>
  <c r="F57" i="4"/>
  <c r="F59" i="4"/>
  <c r="F58" i="4"/>
  <c r="H19" i="4"/>
  <c r="H20" i="4"/>
  <c r="H21" i="4"/>
  <c r="H22" i="4"/>
  <c r="H23" i="4"/>
  <c r="H24" i="4"/>
  <c r="H25" i="4"/>
  <c r="H26" i="4"/>
  <c r="H28" i="4"/>
  <c r="H34" i="4"/>
  <c r="H35" i="4"/>
  <c r="H36" i="4"/>
  <c r="H37" i="4"/>
  <c r="H38" i="4"/>
  <c r="H39" i="4"/>
  <c r="H40" i="4"/>
  <c r="H41" i="4"/>
  <c r="H42" i="4"/>
  <c r="H43" i="4"/>
  <c r="H44" i="4"/>
  <c r="H45" i="4"/>
  <c r="H46" i="4"/>
  <c r="H47" i="4"/>
  <c r="H48" i="4"/>
  <c r="H49" i="4"/>
  <c r="H50" i="4"/>
  <c r="H51" i="4"/>
  <c r="H52" i="4"/>
  <c r="H53" i="4"/>
  <c r="G19" i="4"/>
  <c r="G20" i="4"/>
  <c r="G21" i="4"/>
  <c r="G22" i="4"/>
  <c r="G23" i="4"/>
  <c r="G24" i="4"/>
  <c r="G25" i="4"/>
  <c r="G26" i="4"/>
  <c r="G28" i="4"/>
  <c r="G34" i="4"/>
  <c r="G35" i="4"/>
  <c r="G36" i="4"/>
  <c r="G37" i="4"/>
  <c r="G38" i="4"/>
  <c r="G39" i="4"/>
  <c r="G40" i="4"/>
  <c r="G41" i="4"/>
  <c r="G42" i="4"/>
  <c r="G43" i="4"/>
  <c r="G44" i="4"/>
  <c r="G45" i="4"/>
  <c r="G46" i="4"/>
  <c r="G47" i="4"/>
  <c r="G48" i="4"/>
  <c r="G49" i="4"/>
  <c r="G50" i="4"/>
  <c r="G51" i="4"/>
  <c r="G52" i="4"/>
  <c r="G53" i="4"/>
  <c r="F19" i="4"/>
  <c r="F20" i="4"/>
  <c r="F21" i="4"/>
  <c r="F22" i="4"/>
  <c r="F23" i="4"/>
  <c r="F24" i="4"/>
  <c r="F25" i="4"/>
  <c r="F26" i="4"/>
  <c r="F28" i="4"/>
  <c r="F34" i="4"/>
  <c r="F35" i="4"/>
  <c r="F36" i="4"/>
  <c r="F37" i="4"/>
  <c r="F38" i="4"/>
  <c r="F39" i="4"/>
  <c r="F40" i="4"/>
  <c r="F41" i="4"/>
  <c r="F42" i="4"/>
  <c r="F43" i="4"/>
  <c r="F44" i="4"/>
  <c r="F45" i="4"/>
  <c r="F46" i="4"/>
  <c r="F47" i="4"/>
  <c r="F48" i="4"/>
  <c r="F49" i="4"/>
  <c r="F50" i="4"/>
  <c r="F51" i="4"/>
  <c r="F52" i="4"/>
  <c r="F53" i="4"/>
  <c r="C7" i="4"/>
  <c r="C15" i="4"/>
  <c r="C10" i="4"/>
  <c r="C16" i="4"/>
  <c r="C17" i="4"/>
  <c r="C57" i="4"/>
  <c r="C58" i="4"/>
  <c r="C19" i="4"/>
  <c r="C59" i="4"/>
  <c r="C20" i="4"/>
  <c r="C21" i="4"/>
  <c r="C22" i="4"/>
  <c r="C23" i="4"/>
  <c r="C62" i="4"/>
  <c r="C63" i="4"/>
  <c r="C64" i="4"/>
  <c r="C24" i="4"/>
  <c r="C25" i="4"/>
  <c r="C26" i="4"/>
  <c r="C28" i="4"/>
  <c r="C34" i="4"/>
  <c r="C35" i="4"/>
  <c r="C36" i="4"/>
  <c r="C37" i="4"/>
  <c r="C38" i="4"/>
  <c r="C39" i="4"/>
  <c r="C40" i="4"/>
  <c r="C41" i="4"/>
  <c r="C42" i="4"/>
  <c r="C43" i="4"/>
  <c r="C44" i="4"/>
  <c r="C45" i="4"/>
  <c r="C46" i="4"/>
  <c r="C47" i="4"/>
  <c r="C48" i="4"/>
  <c r="C49" i="4"/>
  <c r="C50" i="4"/>
  <c r="C51" i="4"/>
  <c r="C52" i="4"/>
  <c r="C53" i="4"/>
  <c r="L10" i="4"/>
  <c r="L16" i="4"/>
  <c r="K10" i="4"/>
  <c r="K16" i="4"/>
  <c r="J10" i="4"/>
  <c r="J16" i="4"/>
  <c r="I10" i="4"/>
  <c r="I16" i="4"/>
  <c r="E10" i="4"/>
  <c r="E16" i="4"/>
  <c r="D10" i="4"/>
  <c r="D16" i="4"/>
  <c r="L7" i="4"/>
  <c r="L15" i="4"/>
  <c r="K7" i="4"/>
  <c r="K15" i="4"/>
  <c r="J7" i="4"/>
  <c r="J15" i="4"/>
  <c r="I7" i="4"/>
  <c r="I15" i="4"/>
  <c r="E7" i="4"/>
  <c r="E15" i="4"/>
  <c r="D7" i="4"/>
  <c r="D15" i="4"/>
  <c r="K2" i="12"/>
  <c r="K19" i="12"/>
  <c r="J2" i="12"/>
  <c r="J19" i="12"/>
  <c r="I2" i="12"/>
  <c r="I19" i="12"/>
  <c r="H2" i="12"/>
  <c r="H19" i="12"/>
  <c r="G2" i="12"/>
  <c r="G19" i="12"/>
  <c r="F2" i="12"/>
  <c r="F19" i="12"/>
  <c r="E2" i="12"/>
  <c r="E19" i="12"/>
  <c r="D2" i="12"/>
  <c r="D19" i="12"/>
  <c r="C2" i="12"/>
  <c r="C19" i="12"/>
  <c r="B2" i="12"/>
  <c r="B19" i="12"/>
  <c r="M4" i="2"/>
  <c r="C2" i="1"/>
  <c r="M13" i="2"/>
  <c r="C3" i="1"/>
  <c r="M14" i="2"/>
  <c r="C4" i="1"/>
  <c r="C10" i="1"/>
  <c r="J2" i="1"/>
  <c r="H23" i="2"/>
  <c r="I23" i="2"/>
  <c r="J23" i="2"/>
  <c r="K23" i="2"/>
  <c r="L23" i="2"/>
  <c r="M23" i="2"/>
  <c r="M24" i="2"/>
  <c r="F5" i="1"/>
  <c r="J3" i="1"/>
  <c r="M25" i="2"/>
  <c r="F6" i="1"/>
  <c r="J4" i="1"/>
  <c r="M17" i="2"/>
  <c r="M18" i="2"/>
  <c r="F3" i="1"/>
  <c r="J5" i="1"/>
  <c r="A2" i="1"/>
  <c r="R1" i="2"/>
  <c r="N34" i="11"/>
  <c r="S20" i="11"/>
  <c r="T31" i="11"/>
  <c r="B4" i="12"/>
  <c r="C4" i="12"/>
  <c r="D4" i="12"/>
  <c r="E4" i="12"/>
  <c r="F4" i="12"/>
  <c r="G4" i="12"/>
  <c r="H4" i="12"/>
  <c r="I4" i="12"/>
  <c r="J4" i="12"/>
  <c r="K4" i="12"/>
  <c r="L4" i="12"/>
  <c r="B3" i="12"/>
  <c r="C3" i="12"/>
  <c r="D3" i="12"/>
  <c r="E3" i="12"/>
  <c r="F3" i="12"/>
  <c r="G3" i="12"/>
  <c r="H3" i="12"/>
  <c r="I3" i="12"/>
  <c r="J3" i="12"/>
  <c r="K3" i="12"/>
  <c r="L3" i="12"/>
  <c r="N26" i="11"/>
  <c r="N27" i="11"/>
  <c r="S17" i="11"/>
  <c r="S27" i="11"/>
  <c r="K22" i="12"/>
  <c r="K23" i="12"/>
  <c r="K24" i="12"/>
  <c r="K25" i="12"/>
  <c r="K26" i="12"/>
  <c r="K27" i="12"/>
  <c r="K28" i="12"/>
  <c r="K29" i="12"/>
  <c r="K30" i="12"/>
  <c r="K31" i="12"/>
  <c r="K32" i="12"/>
  <c r="K33" i="12"/>
  <c r="K34" i="12"/>
  <c r="K35" i="12"/>
  <c r="K36" i="12"/>
  <c r="K37" i="12"/>
  <c r="K38" i="12"/>
  <c r="K39" i="12"/>
  <c r="K15" i="12"/>
  <c r="K14" i="12"/>
  <c r="K13" i="12"/>
  <c r="K12" i="12"/>
  <c r="K11" i="12"/>
  <c r="K10" i="12"/>
  <c r="K9" i="12"/>
  <c r="K8" i="12"/>
  <c r="K7" i="12"/>
  <c r="J22" i="12"/>
  <c r="J23" i="12"/>
  <c r="J24" i="12"/>
  <c r="J25" i="12"/>
  <c r="J26" i="12"/>
  <c r="J27" i="12"/>
  <c r="J28" i="12"/>
  <c r="J29" i="12"/>
  <c r="J30" i="12"/>
  <c r="J31" i="12"/>
  <c r="J32" i="12"/>
  <c r="J33" i="12"/>
  <c r="J34" i="12"/>
  <c r="J35" i="12"/>
  <c r="J36" i="12"/>
  <c r="J37" i="12"/>
  <c r="J38" i="12"/>
  <c r="J39" i="12"/>
  <c r="J15" i="12"/>
  <c r="J14" i="12"/>
  <c r="J13" i="12"/>
  <c r="J12" i="12"/>
  <c r="J11" i="12"/>
  <c r="J10" i="12"/>
  <c r="J9" i="12"/>
  <c r="J8" i="12"/>
  <c r="J7" i="12"/>
  <c r="I22" i="12"/>
  <c r="I23" i="12"/>
  <c r="I24" i="12"/>
  <c r="I25" i="12"/>
  <c r="I26" i="12"/>
  <c r="I27" i="12"/>
  <c r="I28" i="12"/>
  <c r="I29" i="12"/>
  <c r="I30" i="12"/>
  <c r="I31" i="12"/>
  <c r="I32" i="12"/>
  <c r="I33" i="12"/>
  <c r="I34" i="12"/>
  <c r="I35" i="12"/>
  <c r="I36" i="12"/>
  <c r="I37" i="12"/>
  <c r="I38" i="12"/>
  <c r="I39" i="12"/>
  <c r="I15" i="12"/>
  <c r="I14" i="12"/>
  <c r="I13" i="12"/>
  <c r="I12" i="12"/>
  <c r="I11" i="12"/>
  <c r="I10" i="12"/>
  <c r="I9" i="12"/>
  <c r="I8" i="12"/>
  <c r="I7" i="12"/>
  <c r="H22" i="12"/>
  <c r="H23" i="12"/>
  <c r="H24" i="12"/>
  <c r="H25" i="12"/>
  <c r="H26" i="12"/>
  <c r="H27" i="12"/>
  <c r="H28" i="12"/>
  <c r="H29" i="12"/>
  <c r="H30" i="12"/>
  <c r="H31" i="12"/>
  <c r="H32" i="12"/>
  <c r="H33" i="12"/>
  <c r="H34" i="12"/>
  <c r="H35" i="12"/>
  <c r="H36" i="12"/>
  <c r="H37" i="12"/>
  <c r="H38" i="12"/>
  <c r="H39" i="12"/>
  <c r="H15" i="12"/>
  <c r="H14" i="12"/>
  <c r="H13" i="12"/>
  <c r="H12" i="12"/>
  <c r="H11" i="12"/>
  <c r="H10" i="12"/>
  <c r="H9" i="12"/>
  <c r="H8" i="12"/>
  <c r="H7" i="12"/>
  <c r="G22" i="12"/>
  <c r="G23" i="12"/>
  <c r="G24" i="12"/>
  <c r="G25" i="12"/>
  <c r="G26" i="12"/>
  <c r="G27" i="12"/>
  <c r="G28" i="12"/>
  <c r="G29" i="12"/>
  <c r="G30" i="12"/>
  <c r="G31" i="12"/>
  <c r="G32" i="12"/>
  <c r="G33" i="12"/>
  <c r="G34" i="12"/>
  <c r="G35" i="12"/>
  <c r="G36" i="12"/>
  <c r="G37" i="12"/>
  <c r="G38" i="12"/>
  <c r="G39" i="12"/>
  <c r="G15" i="12"/>
  <c r="G14" i="12"/>
  <c r="G13" i="12"/>
  <c r="G12" i="12"/>
  <c r="G11" i="12"/>
  <c r="G10" i="12"/>
  <c r="G9" i="12"/>
  <c r="G8" i="12"/>
  <c r="G7" i="12"/>
  <c r="F22" i="12"/>
  <c r="F23" i="12"/>
  <c r="F24" i="12"/>
  <c r="F25" i="12"/>
  <c r="F26" i="12"/>
  <c r="F27" i="12"/>
  <c r="F28" i="12"/>
  <c r="F29" i="12"/>
  <c r="F30" i="12"/>
  <c r="F31" i="12"/>
  <c r="F32" i="12"/>
  <c r="F33" i="12"/>
  <c r="F34" i="12"/>
  <c r="F35" i="12"/>
  <c r="F36" i="12"/>
  <c r="F37" i="12"/>
  <c r="F38" i="12"/>
  <c r="F39" i="12"/>
  <c r="F15" i="12"/>
  <c r="F14" i="12"/>
  <c r="F13" i="12"/>
  <c r="F12" i="12"/>
  <c r="F11" i="12"/>
  <c r="F10" i="12"/>
  <c r="F9" i="12"/>
  <c r="F8" i="12"/>
  <c r="F7" i="12"/>
  <c r="AL33" i="3"/>
  <c r="AL31" i="3"/>
  <c r="AL30" i="3"/>
  <c r="AL29" i="3"/>
  <c r="AL28" i="3"/>
  <c r="AL27" i="3"/>
  <c r="AL26" i="3"/>
  <c r="AL25" i="3"/>
  <c r="AL24" i="3"/>
  <c r="AL23" i="3"/>
  <c r="AL22" i="3"/>
  <c r="AL21" i="3"/>
  <c r="AL19" i="3"/>
  <c r="AL18" i="3"/>
  <c r="AL17" i="3"/>
  <c r="AL16" i="3"/>
  <c r="AL15" i="3"/>
  <c r="AL14" i="3"/>
  <c r="AL13" i="3"/>
  <c r="AL12" i="3"/>
  <c r="AL11" i="3"/>
  <c r="AL10" i="3"/>
  <c r="AL9" i="3"/>
  <c r="AL8" i="3"/>
  <c r="AL7" i="3"/>
  <c r="AH33" i="3"/>
  <c r="AH31" i="3"/>
  <c r="AH30" i="3"/>
  <c r="AH29" i="3"/>
  <c r="AH28" i="3"/>
  <c r="AH27" i="3"/>
  <c r="AH26" i="3"/>
  <c r="AH25" i="3"/>
  <c r="AH24" i="3"/>
  <c r="AH23" i="3"/>
  <c r="AH22" i="3"/>
  <c r="AH21" i="3"/>
  <c r="AH19" i="3"/>
  <c r="AH18" i="3"/>
  <c r="AH17" i="3"/>
  <c r="AH16" i="3"/>
  <c r="AH15" i="3"/>
  <c r="AH14" i="3"/>
  <c r="AH13" i="3"/>
  <c r="AH12" i="3"/>
  <c r="AH11" i="3"/>
  <c r="AH10" i="3"/>
  <c r="AH9" i="3"/>
  <c r="AH8" i="3"/>
  <c r="AH7" i="3"/>
  <c r="AD33" i="3"/>
  <c r="AD31" i="3"/>
  <c r="AD30" i="3"/>
  <c r="AD29" i="3"/>
  <c r="AD28" i="3"/>
  <c r="AD27" i="3"/>
  <c r="AD26" i="3"/>
  <c r="AD25" i="3"/>
  <c r="AD24" i="3"/>
  <c r="AD23" i="3"/>
  <c r="AD22" i="3"/>
  <c r="AD21" i="3"/>
  <c r="AD19" i="3"/>
  <c r="AD18" i="3"/>
  <c r="AD17" i="3"/>
  <c r="AD16" i="3"/>
  <c r="AD15" i="3"/>
  <c r="AD14" i="3"/>
  <c r="AD13" i="3"/>
  <c r="AD12" i="3"/>
  <c r="AD11" i="3"/>
  <c r="AD10" i="3"/>
  <c r="AD9" i="3"/>
  <c r="AD8" i="3"/>
  <c r="AD7" i="3"/>
  <c r="Z33" i="3"/>
  <c r="Z31" i="3"/>
  <c r="Z30" i="3"/>
  <c r="Z29" i="3"/>
  <c r="Z28" i="3"/>
  <c r="Z27" i="3"/>
  <c r="Z26" i="3"/>
  <c r="Z25" i="3"/>
  <c r="Z24" i="3"/>
  <c r="Z23" i="3"/>
  <c r="Z22" i="3"/>
  <c r="Z21" i="3"/>
  <c r="Z19" i="3"/>
  <c r="Z18" i="3"/>
  <c r="Z17" i="3"/>
  <c r="Z16" i="3"/>
  <c r="Z15" i="3"/>
  <c r="Z14" i="3"/>
  <c r="Z13" i="3"/>
  <c r="Z12" i="3"/>
  <c r="Z11" i="3"/>
  <c r="Z10" i="3"/>
  <c r="Z9" i="3"/>
  <c r="Z8" i="3"/>
  <c r="Z7" i="3"/>
  <c r="V33" i="3"/>
  <c r="V31" i="3"/>
  <c r="V30" i="3"/>
  <c r="V29" i="3"/>
  <c r="V28" i="3"/>
  <c r="V27" i="3"/>
  <c r="V26" i="3"/>
  <c r="V25" i="3"/>
  <c r="V24" i="3"/>
  <c r="V23" i="3"/>
  <c r="V22" i="3"/>
  <c r="V21" i="3"/>
  <c r="V19" i="3"/>
  <c r="V18" i="3"/>
  <c r="V17" i="3"/>
  <c r="V16" i="3"/>
  <c r="V15" i="3"/>
  <c r="V14" i="3"/>
  <c r="V13" i="3"/>
  <c r="V12" i="3"/>
  <c r="V11" i="3"/>
  <c r="V10" i="3"/>
  <c r="V9" i="3"/>
  <c r="V8" i="3"/>
  <c r="V7" i="3"/>
  <c r="R33" i="3"/>
  <c r="R31" i="3"/>
  <c r="R30" i="3"/>
  <c r="R29" i="3"/>
  <c r="R28" i="3"/>
  <c r="R27" i="3"/>
  <c r="R26" i="3"/>
  <c r="R25" i="3"/>
  <c r="R24" i="3"/>
  <c r="R23" i="3"/>
  <c r="R22" i="3"/>
  <c r="R21" i="3"/>
  <c r="R19" i="3"/>
  <c r="R18" i="3"/>
  <c r="R17" i="3"/>
  <c r="R16" i="3"/>
  <c r="R15" i="3"/>
  <c r="R14" i="3"/>
  <c r="R13" i="3"/>
  <c r="R12" i="3"/>
  <c r="R11" i="3"/>
  <c r="R10" i="3"/>
  <c r="R9" i="3"/>
  <c r="R8" i="3"/>
  <c r="R7" i="3"/>
  <c r="N33" i="3"/>
  <c r="N31" i="3"/>
  <c r="N30" i="3"/>
  <c r="N29" i="3"/>
  <c r="N28" i="3"/>
  <c r="N27" i="3"/>
  <c r="N26" i="3"/>
  <c r="N25" i="3"/>
  <c r="N24" i="3"/>
  <c r="N23" i="3"/>
  <c r="N22" i="3"/>
  <c r="N21" i="3"/>
  <c r="N19" i="3"/>
  <c r="N18" i="3"/>
  <c r="N17" i="3"/>
  <c r="N16" i="3"/>
  <c r="N15" i="3"/>
  <c r="N14" i="3"/>
  <c r="N13" i="3"/>
  <c r="N12" i="3"/>
  <c r="N11" i="3"/>
  <c r="N10" i="3"/>
  <c r="N9" i="3"/>
  <c r="N8" i="3"/>
  <c r="N7" i="3"/>
  <c r="J33" i="3"/>
  <c r="J31" i="3"/>
  <c r="J30" i="3"/>
  <c r="J29" i="3"/>
  <c r="J28" i="3"/>
  <c r="J27" i="3"/>
  <c r="J26" i="3"/>
  <c r="J25" i="3"/>
  <c r="J24" i="3"/>
  <c r="J23" i="3"/>
  <c r="J22" i="3"/>
  <c r="J21" i="3"/>
  <c r="J19" i="3"/>
  <c r="J18" i="3"/>
  <c r="J17" i="3"/>
  <c r="J16" i="3"/>
  <c r="J15" i="3"/>
  <c r="J14" i="3"/>
  <c r="J13" i="3"/>
  <c r="J12" i="3"/>
  <c r="J11" i="3"/>
  <c r="J10" i="3"/>
  <c r="J9" i="3"/>
  <c r="J8" i="3"/>
  <c r="J7" i="3"/>
  <c r="F33" i="3"/>
  <c r="F31" i="3"/>
  <c r="F30" i="3"/>
  <c r="F29" i="3"/>
  <c r="F28" i="3"/>
  <c r="F27" i="3"/>
  <c r="F26" i="3"/>
  <c r="F25" i="3"/>
  <c r="F24" i="3"/>
  <c r="F23" i="3"/>
  <c r="F22" i="3"/>
  <c r="F21" i="3"/>
  <c r="F19" i="3"/>
  <c r="F18" i="3"/>
  <c r="F17" i="3"/>
  <c r="F16" i="3"/>
  <c r="F15" i="3"/>
  <c r="F14" i="3"/>
  <c r="F13" i="3"/>
  <c r="F12" i="3"/>
  <c r="F11" i="3"/>
  <c r="F10" i="3"/>
  <c r="F9" i="3"/>
  <c r="F8" i="3"/>
  <c r="F7" i="3"/>
  <c r="B33" i="3"/>
  <c r="B31" i="3"/>
  <c r="B30" i="3"/>
  <c r="B29" i="3"/>
  <c r="B28" i="3"/>
  <c r="B27" i="3"/>
  <c r="B26" i="3"/>
  <c r="B25" i="3"/>
  <c r="B24" i="3"/>
  <c r="B23" i="3"/>
  <c r="B22" i="3"/>
  <c r="B21" i="3"/>
  <c r="B19" i="3"/>
  <c r="B18" i="3"/>
  <c r="B17" i="3"/>
  <c r="B16" i="3"/>
  <c r="B15" i="3"/>
  <c r="B14" i="3"/>
  <c r="B13" i="3"/>
  <c r="B12" i="3"/>
  <c r="B11" i="3"/>
  <c r="B10" i="3"/>
  <c r="B9" i="3"/>
  <c r="B8" i="3"/>
  <c r="B7" i="3"/>
  <c r="AM31" i="5"/>
  <c r="AM30" i="5"/>
  <c r="AM29" i="5"/>
  <c r="AM28" i="5"/>
  <c r="AM27" i="5"/>
  <c r="AM26" i="5"/>
  <c r="AM25" i="5"/>
  <c r="AM24" i="5"/>
  <c r="AM23" i="5"/>
  <c r="AM22" i="5"/>
  <c r="J17" i="4"/>
  <c r="J57" i="4"/>
  <c r="J58" i="4"/>
  <c r="J19" i="4"/>
  <c r="J59" i="4"/>
  <c r="J20" i="4"/>
  <c r="J21" i="4"/>
  <c r="J22" i="4"/>
  <c r="J23" i="4"/>
  <c r="J62" i="4"/>
  <c r="J63" i="4"/>
  <c r="J64" i="4"/>
  <c r="J24" i="4"/>
  <c r="J25" i="4"/>
  <c r="J26" i="4"/>
  <c r="J28" i="4"/>
  <c r="L17" i="4"/>
  <c r="L57" i="4"/>
  <c r="L58" i="4"/>
  <c r="L19" i="4"/>
  <c r="L59" i="4"/>
  <c r="L20" i="4"/>
  <c r="L21" i="4"/>
  <c r="L22" i="4"/>
  <c r="L23" i="4"/>
  <c r="L62" i="4"/>
  <c r="L63" i="4"/>
  <c r="L64" i="4"/>
  <c r="L24" i="4"/>
  <c r="L25" i="4"/>
  <c r="L26" i="4"/>
  <c r="L28" i="4"/>
  <c r="AM19" i="5"/>
  <c r="AL19" i="5"/>
  <c r="AM17" i="5"/>
  <c r="AL17" i="5"/>
  <c r="AM16" i="5"/>
  <c r="AL16" i="5"/>
  <c r="AM15" i="5"/>
  <c r="AL15" i="5"/>
  <c r="AM14" i="5"/>
  <c r="AL14" i="5"/>
  <c r="AM13" i="5"/>
  <c r="AL13" i="5"/>
  <c r="AM12" i="5"/>
  <c r="AL12" i="5"/>
  <c r="AM10" i="5"/>
  <c r="AL10" i="5"/>
  <c r="AM9" i="5"/>
  <c r="AL9" i="5"/>
  <c r="AM8" i="5"/>
  <c r="AL8" i="5"/>
  <c r="AM7" i="5"/>
  <c r="AL7" i="5"/>
  <c r="B6" i="5"/>
  <c r="AM6" i="5"/>
  <c r="AL6" i="5"/>
  <c r="C1" i="4"/>
  <c r="AL3" i="5"/>
  <c r="AI31" i="5"/>
  <c r="AI30" i="5"/>
  <c r="AI29" i="5"/>
  <c r="AI28" i="5"/>
  <c r="AI27" i="5"/>
  <c r="AI26" i="5"/>
  <c r="AI25" i="5"/>
  <c r="AI24" i="5"/>
  <c r="AI23" i="5"/>
  <c r="AI22" i="5"/>
  <c r="K17" i="4"/>
  <c r="K57" i="4"/>
  <c r="K58" i="4"/>
  <c r="K19" i="4"/>
  <c r="K59" i="4"/>
  <c r="K20" i="4"/>
  <c r="K21" i="4"/>
  <c r="K22" i="4"/>
  <c r="K23" i="4"/>
  <c r="K62" i="4"/>
  <c r="K63" i="4"/>
  <c r="K64" i="4"/>
  <c r="K24" i="4"/>
  <c r="K25" i="4"/>
  <c r="K26" i="4"/>
  <c r="K28" i="4"/>
  <c r="AI19" i="5"/>
  <c r="AH19" i="5"/>
  <c r="AI17" i="5"/>
  <c r="AH17" i="5"/>
  <c r="AI16" i="5"/>
  <c r="AH16" i="5"/>
  <c r="AI15" i="5"/>
  <c r="AH15" i="5"/>
  <c r="AI14" i="5"/>
  <c r="AH14" i="5"/>
  <c r="AI13" i="5"/>
  <c r="AH13" i="5"/>
  <c r="AI12" i="5"/>
  <c r="AH12" i="5"/>
  <c r="AI10" i="5"/>
  <c r="AH10" i="5"/>
  <c r="AI9" i="5"/>
  <c r="AH9" i="5"/>
  <c r="AI8" i="5"/>
  <c r="AH8" i="5"/>
  <c r="AI7" i="5"/>
  <c r="AH7" i="5"/>
  <c r="AI6" i="5"/>
  <c r="AH6" i="5"/>
  <c r="AH3" i="5"/>
  <c r="AE31" i="5"/>
  <c r="AE30" i="5"/>
  <c r="AE29" i="5"/>
  <c r="AE28" i="5"/>
  <c r="AE27" i="5"/>
  <c r="AE26" i="5"/>
  <c r="AE25" i="5"/>
  <c r="AE24" i="5"/>
  <c r="AE23" i="5"/>
  <c r="AE22" i="5"/>
  <c r="I17" i="4"/>
  <c r="I57" i="4"/>
  <c r="I58" i="4"/>
  <c r="I19" i="4"/>
  <c r="I59" i="4"/>
  <c r="I20" i="4"/>
  <c r="I21" i="4"/>
  <c r="I22" i="4"/>
  <c r="I23" i="4"/>
  <c r="I62" i="4"/>
  <c r="I63" i="4"/>
  <c r="I64" i="4"/>
  <c r="I24" i="4"/>
  <c r="I25" i="4"/>
  <c r="I26" i="4"/>
  <c r="I28" i="4"/>
  <c r="AE19" i="5"/>
  <c r="AD19" i="5"/>
  <c r="AE17" i="5"/>
  <c r="AD17" i="5"/>
  <c r="AE16" i="5"/>
  <c r="AD16" i="5"/>
  <c r="AE15" i="5"/>
  <c r="AD15" i="5"/>
  <c r="AE14" i="5"/>
  <c r="AD14" i="5"/>
  <c r="AE13" i="5"/>
  <c r="AD13" i="5"/>
  <c r="AE12" i="5"/>
  <c r="AD12" i="5"/>
  <c r="AE10" i="5"/>
  <c r="AD10" i="5"/>
  <c r="AE9" i="5"/>
  <c r="AD9" i="5"/>
  <c r="AE8" i="5"/>
  <c r="AD8" i="5"/>
  <c r="AE7" i="5"/>
  <c r="AD7" i="5"/>
  <c r="AE6" i="5"/>
  <c r="AD6" i="5"/>
  <c r="AD3" i="5"/>
  <c r="AA19" i="5"/>
  <c r="Z19" i="5"/>
  <c r="AA17" i="5"/>
  <c r="Z17" i="5"/>
  <c r="AA16" i="5"/>
  <c r="Z16" i="5"/>
  <c r="AA15" i="5"/>
  <c r="Z15" i="5"/>
  <c r="AA14" i="5"/>
  <c r="Z14" i="5"/>
  <c r="AA13" i="5"/>
  <c r="Z13" i="5"/>
  <c r="AA12" i="5"/>
  <c r="Z12" i="5"/>
  <c r="W19" i="5"/>
  <c r="V19" i="5"/>
  <c r="W17" i="5"/>
  <c r="V17" i="5"/>
  <c r="W16" i="5"/>
  <c r="V16" i="5"/>
  <c r="W15" i="5"/>
  <c r="V15" i="5"/>
  <c r="W14" i="5"/>
  <c r="V14" i="5"/>
  <c r="W13" i="5"/>
  <c r="V13" i="5"/>
  <c r="W12" i="5"/>
  <c r="V12" i="5"/>
  <c r="S19" i="5"/>
  <c r="R19" i="5"/>
  <c r="S17" i="5"/>
  <c r="R17" i="5"/>
  <c r="S16" i="5"/>
  <c r="R16" i="5"/>
  <c r="S15" i="5"/>
  <c r="R15" i="5"/>
  <c r="S14" i="5"/>
  <c r="R14" i="5"/>
  <c r="S13" i="5"/>
  <c r="R13" i="5"/>
  <c r="S12" i="5"/>
  <c r="R12" i="5"/>
  <c r="O19" i="5"/>
  <c r="N19" i="5"/>
  <c r="O17" i="5"/>
  <c r="N17" i="5"/>
  <c r="O16" i="5"/>
  <c r="N16" i="5"/>
  <c r="O15" i="5"/>
  <c r="N15" i="5"/>
  <c r="O14" i="5"/>
  <c r="N14" i="5"/>
  <c r="O13" i="5"/>
  <c r="N13" i="5"/>
  <c r="O12" i="5"/>
  <c r="N12" i="5"/>
  <c r="E17" i="4"/>
  <c r="E57" i="4"/>
  <c r="E58" i="4"/>
  <c r="E19" i="4"/>
  <c r="E59" i="4"/>
  <c r="E20" i="4"/>
  <c r="E21" i="4"/>
  <c r="E22" i="4"/>
  <c r="E23" i="4"/>
  <c r="E62" i="4"/>
  <c r="E63" i="4"/>
  <c r="E64" i="4"/>
  <c r="E24" i="4"/>
  <c r="E25" i="4"/>
  <c r="E26" i="4"/>
  <c r="E28" i="4"/>
  <c r="K19" i="5"/>
  <c r="J19" i="5"/>
  <c r="K17" i="5"/>
  <c r="J17" i="5"/>
  <c r="K16" i="5"/>
  <c r="J16" i="5"/>
  <c r="K15" i="5"/>
  <c r="J15" i="5"/>
  <c r="K14" i="5"/>
  <c r="J14" i="5"/>
  <c r="K13" i="5"/>
  <c r="J13" i="5"/>
  <c r="K12" i="5"/>
  <c r="J12" i="5"/>
  <c r="D17" i="4"/>
  <c r="D57" i="4"/>
  <c r="D58" i="4"/>
  <c r="D19" i="4"/>
  <c r="D59" i="4"/>
  <c r="D20" i="4"/>
  <c r="D21" i="4"/>
  <c r="D22" i="4"/>
  <c r="D23" i="4"/>
  <c r="D62" i="4"/>
  <c r="D63" i="4"/>
  <c r="D64" i="4"/>
  <c r="D24" i="4"/>
  <c r="D25" i="4"/>
  <c r="D26" i="4"/>
  <c r="D28" i="4"/>
  <c r="G19" i="5"/>
  <c r="F19" i="5"/>
  <c r="G17" i="5"/>
  <c r="F17" i="5"/>
  <c r="G16" i="5"/>
  <c r="F16" i="5"/>
  <c r="G15" i="5"/>
  <c r="F15" i="5"/>
  <c r="G14" i="5"/>
  <c r="F14" i="5"/>
  <c r="G13" i="5"/>
  <c r="F13" i="5"/>
  <c r="G12" i="5"/>
  <c r="F12" i="5"/>
  <c r="C19" i="5"/>
  <c r="C17" i="5"/>
  <c r="C16" i="5"/>
  <c r="C15" i="5"/>
  <c r="C14" i="5"/>
  <c r="C13" i="5"/>
  <c r="C12" i="5"/>
  <c r="B19" i="5"/>
  <c r="B17" i="5"/>
  <c r="B16" i="5"/>
  <c r="B15" i="5"/>
  <c r="B14" i="5"/>
  <c r="B13" i="5"/>
  <c r="B12" i="5"/>
  <c r="AA6" i="5"/>
  <c r="Z6" i="5"/>
  <c r="W6" i="5"/>
  <c r="V6" i="5"/>
  <c r="S6" i="5"/>
  <c r="R6" i="5"/>
  <c r="O6" i="5"/>
  <c r="N6" i="5"/>
  <c r="K6" i="5"/>
  <c r="J6" i="5"/>
  <c r="AA10" i="5"/>
  <c r="Z10" i="5"/>
  <c r="AA9" i="5"/>
  <c r="Z9" i="5"/>
  <c r="AA8" i="5"/>
  <c r="Z8" i="5"/>
  <c r="AA7" i="5"/>
  <c r="Z7" i="5"/>
  <c r="W10" i="5"/>
  <c r="V10" i="5"/>
  <c r="W9" i="5"/>
  <c r="V9" i="5"/>
  <c r="W8" i="5"/>
  <c r="V8" i="5"/>
  <c r="W7" i="5"/>
  <c r="V7" i="5"/>
  <c r="S10" i="5"/>
  <c r="R10" i="5"/>
  <c r="S9" i="5"/>
  <c r="R9" i="5"/>
  <c r="S8" i="5"/>
  <c r="R8" i="5"/>
  <c r="S7" i="5"/>
  <c r="R7" i="5"/>
  <c r="O10" i="5"/>
  <c r="N10" i="5"/>
  <c r="O9" i="5"/>
  <c r="N9" i="5"/>
  <c r="O8" i="5"/>
  <c r="N8" i="5"/>
  <c r="O7" i="5"/>
  <c r="N7" i="5"/>
  <c r="K10" i="5"/>
  <c r="J10" i="5"/>
  <c r="K9" i="5"/>
  <c r="J9" i="5"/>
  <c r="K8" i="5"/>
  <c r="J8" i="5"/>
  <c r="K7" i="5"/>
  <c r="J7" i="5"/>
  <c r="F10" i="5"/>
  <c r="F9" i="5"/>
  <c r="F8" i="5"/>
  <c r="F7" i="5"/>
  <c r="B10" i="5"/>
  <c r="B9" i="5"/>
  <c r="B8" i="5"/>
  <c r="B7" i="5"/>
  <c r="G6" i="5"/>
  <c r="F6" i="5"/>
  <c r="G10" i="5"/>
  <c r="G9" i="5"/>
  <c r="G8" i="5"/>
  <c r="G7" i="5"/>
  <c r="C10" i="5"/>
  <c r="C9" i="5"/>
  <c r="C8" i="5"/>
  <c r="C7" i="5"/>
  <c r="D34" i="4"/>
  <c r="D35" i="4"/>
  <c r="D36" i="4"/>
  <c r="D37" i="4"/>
  <c r="D38" i="4"/>
  <c r="D39" i="4"/>
  <c r="D40" i="4"/>
  <c r="D41" i="4"/>
  <c r="D42" i="4"/>
  <c r="D43" i="4"/>
  <c r="D44" i="4"/>
  <c r="D45" i="4"/>
  <c r="D46" i="4"/>
  <c r="E34" i="4"/>
  <c r="E35" i="4"/>
  <c r="E36" i="4"/>
  <c r="E37" i="4"/>
  <c r="E38" i="4"/>
  <c r="E39" i="4"/>
  <c r="E40" i="4"/>
  <c r="E41" i="4"/>
  <c r="E42" i="4"/>
  <c r="E43" i="4"/>
  <c r="E44" i="4"/>
  <c r="E45" i="4"/>
  <c r="E46" i="4"/>
  <c r="I34" i="4"/>
  <c r="I35" i="4"/>
  <c r="I36" i="4"/>
  <c r="I37" i="4"/>
  <c r="I38" i="4"/>
  <c r="I39" i="4"/>
  <c r="I40" i="4"/>
  <c r="I41" i="4"/>
  <c r="I42" i="4"/>
  <c r="I43" i="4"/>
  <c r="I44" i="4"/>
  <c r="I45" i="4"/>
  <c r="I46" i="4"/>
  <c r="J34" i="4"/>
  <c r="J35" i="4"/>
  <c r="J36" i="4"/>
  <c r="J37" i="4"/>
  <c r="J38" i="4"/>
  <c r="J39" i="4"/>
  <c r="J40" i="4"/>
  <c r="J41" i="4"/>
  <c r="J42" i="4"/>
  <c r="J43" i="4"/>
  <c r="J44" i="4"/>
  <c r="J45" i="4"/>
  <c r="J46" i="4"/>
  <c r="K34" i="4"/>
  <c r="K35" i="4"/>
  <c r="K36" i="4"/>
  <c r="K37" i="4"/>
  <c r="K38" i="4"/>
  <c r="K39" i="4"/>
  <c r="K40" i="4"/>
  <c r="K41" i="4"/>
  <c r="K42" i="4"/>
  <c r="K43" i="4"/>
  <c r="K44" i="4"/>
  <c r="K45" i="4"/>
  <c r="K46" i="4"/>
  <c r="L34" i="4"/>
  <c r="L35" i="4"/>
  <c r="L36" i="4"/>
  <c r="L37" i="4"/>
  <c r="L38" i="4"/>
  <c r="L39" i="4"/>
  <c r="L40" i="4"/>
  <c r="L41" i="4"/>
  <c r="L42" i="4"/>
  <c r="L43" i="4"/>
  <c r="L44" i="4"/>
  <c r="L45" i="4"/>
  <c r="L46" i="4"/>
  <c r="M46" i="4"/>
  <c r="P14" i="4"/>
  <c r="D47" i="4"/>
  <c r="D48" i="4"/>
  <c r="E47" i="4"/>
  <c r="E48" i="4"/>
  <c r="I47" i="4"/>
  <c r="I48" i="4"/>
  <c r="J47" i="4"/>
  <c r="J48" i="4"/>
  <c r="K47" i="4"/>
  <c r="K48" i="4"/>
  <c r="L47" i="4"/>
  <c r="L48" i="4"/>
  <c r="M48" i="4"/>
  <c r="P15" i="4"/>
  <c r="D49" i="4"/>
  <c r="D50" i="4"/>
  <c r="E49" i="4"/>
  <c r="E50" i="4"/>
  <c r="I49" i="4"/>
  <c r="I50" i="4"/>
  <c r="J49" i="4"/>
  <c r="J50" i="4"/>
  <c r="K49" i="4"/>
  <c r="K50" i="4"/>
  <c r="L49" i="4"/>
  <c r="L50" i="4"/>
  <c r="M50" i="4"/>
  <c r="P16" i="4"/>
  <c r="AA22" i="5"/>
  <c r="AA23" i="5"/>
  <c r="AA24" i="5"/>
  <c r="AA25" i="5"/>
  <c r="AA26" i="5"/>
  <c r="AA27" i="5"/>
  <c r="AA28" i="5"/>
  <c r="AA29" i="5"/>
  <c r="AA30" i="5"/>
  <c r="AA31" i="5"/>
  <c r="D51" i="4"/>
  <c r="D52" i="4"/>
  <c r="E51" i="4"/>
  <c r="E52" i="4"/>
  <c r="I51" i="4"/>
  <c r="I52" i="4"/>
  <c r="J51" i="4"/>
  <c r="J52" i="4"/>
  <c r="K51" i="4"/>
  <c r="K52" i="4"/>
  <c r="L51" i="4"/>
  <c r="L52" i="4"/>
  <c r="M52" i="4"/>
  <c r="M44" i="4"/>
  <c r="M42" i="4"/>
  <c r="M40" i="4"/>
  <c r="M38" i="4"/>
  <c r="M36" i="4"/>
  <c r="M34" i="4"/>
  <c r="M25" i="4"/>
  <c r="M19" i="4"/>
  <c r="B6" i="3"/>
  <c r="F6" i="3"/>
  <c r="C29" i="2"/>
  <c r="C31" i="2"/>
  <c r="C33" i="3"/>
  <c r="C31" i="3"/>
  <c r="C30" i="3"/>
  <c r="C29" i="3"/>
  <c r="C28" i="3"/>
  <c r="C27" i="3"/>
  <c r="C26" i="3"/>
  <c r="C25" i="3"/>
  <c r="C24" i="3"/>
  <c r="C23" i="3"/>
  <c r="C22" i="3"/>
  <c r="C21" i="3"/>
  <c r="C19" i="3"/>
  <c r="C18" i="3"/>
  <c r="C17" i="3"/>
  <c r="C16" i="3"/>
  <c r="C15" i="3"/>
  <c r="C14" i="3"/>
  <c r="C13" i="3"/>
  <c r="C12" i="3"/>
  <c r="C11" i="3"/>
  <c r="C10" i="3"/>
  <c r="C9" i="3"/>
  <c r="C8" i="3"/>
  <c r="C7" i="3"/>
  <c r="D29" i="2"/>
  <c r="D31" i="2"/>
  <c r="G33" i="3"/>
  <c r="G31" i="3"/>
  <c r="G30" i="3"/>
  <c r="G29" i="3"/>
  <c r="G28" i="3"/>
  <c r="G27" i="3"/>
  <c r="G26" i="3"/>
  <c r="G25" i="3"/>
  <c r="G24" i="3"/>
  <c r="G23" i="3"/>
  <c r="G22" i="3"/>
  <c r="G21" i="3"/>
  <c r="G19" i="3"/>
  <c r="G18" i="3"/>
  <c r="G17" i="3"/>
  <c r="G16" i="3"/>
  <c r="G15" i="3"/>
  <c r="G14" i="3"/>
  <c r="G13" i="3"/>
  <c r="G12" i="3"/>
  <c r="G11" i="3"/>
  <c r="G10" i="3"/>
  <c r="G9" i="3"/>
  <c r="G8" i="3"/>
  <c r="G7" i="3"/>
  <c r="Z3" i="5"/>
  <c r="H12" i="4"/>
  <c r="G12" i="4"/>
  <c r="F12" i="4"/>
  <c r="I53" i="4"/>
  <c r="I12" i="4"/>
  <c r="L29" i="2"/>
  <c r="L31" i="2"/>
  <c r="AM33" i="3"/>
  <c r="AM31" i="3"/>
  <c r="AM30" i="3"/>
  <c r="AM29" i="3"/>
  <c r="AM28" i="3"/>
  <c r="AM27" i="3"/>
  <c r="AM26" i="3"/>
  <c r="AM25" i="3"/>
  <c r="AM24" i="3"/>
  <c r="AM23" i="3"/>
  <c r="AM22" i="3"/>
  <c r="AM21" i="3"/>
  <c r="AM19" i="3"/>
  <c r="AM18" i="3"/>
  <c r="AM17" i="3"/>
  <c r="AM16" i="3"/>
  <c r="AM15" i="3"/>
  <c r="AM14" i="3"/>
  <c r="AM13" i="3"/>
  <c r="AM12" i="3"/>
  <c r="AM11" i="3"/>
  <c r="AM10" i="3"/>
  <c r="AM9" i="3"/>
  <c r="AM8" i="3"/>
  <c r="AM7" i="3"/>
  <c r="AL6" i="3"/>
  <c r="AL3" i="3"/>
  <c r="K29" i="2"/>
  <c r="K31" i="2"/>
  <c r="AI33" i="3"/>
  <c r="AI31" i="3"/>
  <c r="AI30" i="3"/>
  <c r="AI29" i="3"/>
  <c r="AI28" i="3"/>
  <c r="AI27" i="3"/>
  <c r="AI26" i="3"/>
  <c r="AI25" i="3"/>
  <c r="AI24" i="3"/>
  <c r="AI23" i="3"/>
  <c r="AI22" i="3"/>
  <c r="AI21" i="3"/>
  <c r="AI19" i="3"/>
  <c r="AI18" i="3"/>
  <c r="AI17" i="3"/>
  <c r="AI16" i="3"/>
  <c r="AI15" i="3"/>
  <c r="AI14" i="3"/>
  <c r="AI13" i="3"/>
  <c r="AI12" i="3"/>
  <c r="AI11" i="3"/>
  <c r="AI10" i="3"/>
  <c r="AI9" i="3"/>
  <c r="AI8" i="3"/>
  <c r="AI7" i="3"/>
  <c r="AH6" i="3"/>
  <c r="AH3" i="3"/>
  <c r="L73" i="2"/>
  <c r="L74" i="2"/>
  <c r="K73" i="2"/>
  <c r="K74" i="2"/>
  <c r="J73" i="2"/>
  <c r="J74" i="2"/>
  <c r="I73" i="2"/>
  <c r="I74" i="2"/>
  <c r="H73" i="2"/>
  <c r="H74" i="2"/>
  <c r="G73" i="2"/>
  <c r="G74" i="2"/>
  <c r="L65" i="2"/>
  <c r="K65" i="2"/>
  <c r="J65" i="2"/>
  <c r="I65" i="2"/>
  <c r="H65" i="2"/>
  <c r="G65" i="2"/>
  <c r="J29" i="2"/>
  <c r="J31" i="2"/>
  <c r="I29" i="2"/>
  <c r="I31" i="2"/>
  <c r="H29" i="2"/>
  <c r="H31" i="2"/>
  <c r="G29" i="2"/>
  <c r="G31" i="2"/>
  <c r="E33" i="18"/>
  <c r="O57" i="2"/>
  <c r="C12" i="4"/>
  <c r="D12" i="4"/>
  <c r="AE30" i="3"/>
  <c r="AE29" i="3"/>
  <c r="AE28" i="3"/>
  <c r="AE27" i="3"/>
  <c r="AE26" i="3"/>
  <c r="AE18" i="3"/>
  <c r="AE16" i="3"/>
  <c r="AE15" i="3"/>
  <c r="AE13" i="3"/>
  <c r="AE12" i="3"/>
  <c r="AE11" i="3"/>
  <c r="AE10" i="3"/>
  <c r="AE9" i="3"/>
  <c r="AE8" i="3"/>
  <c r="AE7" i="3"/>
  <c r="AA30" i="3"/>
  <c r="AA29" i="3"/>
  <c r="AA28" i="3"/>
  <c r="AA27" i="3"/>
  <c r="AA26" i="3"/>
  <c r="AA18" i="3"/>
  <c r="AA16" i="3"/>
  <c r="AA15" i="3"/>
  <c r="AA13" i="3"/>
  <c r="AA12" i="3"/>
  <c r="AA11" i="3"/>
  <c r="AA10" i="3"/>
  <c r="AA9" i="3"/>
  <c r="AA8" i="3"/>
  <c r="AA7" i="3"/>
  <c r="W30" i="3"/>
  <c r="W29" i="3"/>
  <c r="W28" i="3"/>
  <c r="W27" i="3"/>
  <c r="W26" i="3"/>
  <c r="W18" i="3"/>
  <c r="W16" i="3"/>
  <c r="W15" i="3"/>
  <c r="W13" i="3"/>
  <c r="W12" i="3"/>
  <c r="W11" i="3"/>
  <c r="W10" i="3"/>
  <c r="W9" i="3"/>
  <c r="W8" i="3"/>
  <c r="W7" i="3"/>
  <c r="S30" i="3"/>
  <c r="S29" i="3"/>
  <c r="S28" i="3"/>
  <c r="S27" i="3"/>
  <c r="S26" i="3"/>
  <c r="S18" i="3"/>
  <c r="S16" i="3"/>
  <c r="S15" i="3"/>
  <c r="S13" i="3"/>
  <c r="S12" i="3"/>
  <c r="S11" i="3"/>
  <c r="S10" i="3"/>
  <c r="S9" i="3"/>
  <c r="S8" i="3"/>
  <c r="S7" i="3"/>
  <c r="O30" i="3"/>
  <c r="O29" i="3"/>
  <c r="O28" i="3"/>
  <c r="O27" i="3"/>
  <c r="O26" i="3"/>
  <c r="O18" i="3"/>
  <c r="O16" i="3"/>
  <c r="O15" i="3"/>
  <c r="O13" i="3"/>
  <c r="O12" i="3"/>
  <c r="O11" i="3"/>
  <c r="O10" i="3"/>
  <c r="O9" i="3"/>
  <c r="O8" i="3"/>
  <c r="O7" i="3"/>
  <c r="K30" i="3"/>
  <c r="K29" i="3"/>
  <c r="K28" i="3"/>
  <c r="K27" i="3"/>
  <c r="K26" i="3"/>
  <c r="K18" i="3"/>
  <c r="K16" i="3"/>
  <c r="K15" i="3"/>
  <c r="K13" i="3"/>
  <c r="K12" i="3"/>
  <c r="K11" i="3"/>
  <c r="K10" i="3"/>
  <c r="K9" i="3"/>
  <c r="K8" i="3"/>
  <c r="K7" i="3"/>
  <c r="AD6" i="3"/>
  <c r="Z6" i="3"/>
  <c r="V6" i="3"/>
  <c r="R6" i="3"/>
  <c r="N6" i="3"/>
  <c r="J6" i="3"/>
  <c r="AA22" i="3"/>
  <c r="W14" i="3"/>
  <c r="W17" i="3"/>
  <c r="AA14" i="3"/>
  <c r="AA19" i="3"/>
  <c r="W19" i="3"/>
  <c r="AA17" i="3"/>
  <c r="W23" i="3"/>
  <c r="U2" i="19"/>
  <c r="I1" i="19"/>
  <c r="AA23" i="3"/>
  <c r="B72" i="2"/>
  <c r="B71" i="2"/>
  <c r="B70" i="2"/>
  <c r="M35" i="11"/>
  <c r="L35" i="11"/>
  <c r="K35" i="11"/>
  <c r="J35" i="11"/>
  <c r="I35" i="11"/>
  <c r="H35" i="11"/>
  <c r="G35" i="11"/>
  <c r="K1" i="19"/>
  <c r="N25" i="18"/>
  <c r="N24" i="18"/>
  <c r="N23" i="18"/>
  <c r="N22" i="18"/>
  <c r="N21" i="18"/>
  <c r="N20" i="18"/>
  <c r="N19" i="18"/>
  <c r="N18" i="18"/>
  <c r="N17" i="18"/>
  <c r="N16" i="18"/>
  <c r="N15" i="18"/>
  <c r="N14" i="18"/>
  <c r="N13" i="18"/>
  <c r="T3" i="2"/>
  <c r="N12" i="18"/>
  <c r="N11" i="18"/>
  <c r="N10" i="18"/>
  <c r="N9" i="18"/>
  <c r="N8" i="18"/>
  <c r="N7" i="18"/>
  <c r="N6" i="18"/>
  <c r="O14" i="3"/>
  <c r="R11" i="2"/>
  <c r="R10" i="2"/>
  <c r="R9" i="2"/>
  <c r="AA6" i="19"/>
  <c r="E9" i="1"/>
  <c r="E8" i="1"/>
  <c r="E41" i="19"/>
  <c r="E37" i="19"/>
  <c r="E38" i="19"/>
  <c r="E39" i="19"/>
  <c r="E40" i="19"/>
  <c r="E42" i="19"/>
  <c r="U26" i="2"/>
  <c r="M73" i="2"/>
  <c r="F65" i="2"/>
  <c r="E65" i="2"/>
  <c r="D65" i="2"/>
  <c r="C65" i="2"/>
  <c r="T17" i="2"/>
  <c r="U25" i="2"/>
  <c r="U27" i="2"/>
  <c r="U28" i="2"/>
  <c r="U29" i="2"/>
  <c r="U18" i="2"/>
  <c r="U19" i="2"/>
  <c r="U20" i="2"/>
  <c r="U21" i="2"/>
  <c r="U22" i="2"/>
  <c r="U23" i="2"/>
  <c r="U24" i="2"/>
  <c r="R25" i="19"/>
  <c r="D33" i="18"/>
  <c r="M28" i="2"/>
  <c r="M27" i="2"/>
  <c r="F8" i="1"/>
  <c r="M26" i="2"/>
  <c r="M12" i="2"/>
  <c r="M11" i="2"/>
  <c r="M9" i="2"/>
  <c r="M8" i="2"/>
  <c r="M7" i="2"/>
  <c r="M6" i="2"/>
  <c r="M5" i="2"/>
  <c r="M3" i="2"/>
  <c r="E12" i="4"/>
  <c r="M8" i="4"/>
  <c r="V3" i="5"/>
  <c r="K12" i="4"/>
  <c r="C24" i="5"/>
  <c r="C31" i="5"/>
  <c r="C30" i="5"/>
  <c r="C29" i="5"/>
  <c r="C28" i="5"/>
  <c r="C27" i="5"/>
  <c r="C26" i="5"/>
  <c r="C25" i="5"/>
  <c r="C23" i="5"/>
  <c r="C22" i="5"/>
  <c r="E5" i="1"/>
  <c r="E6" i="1"/>
  <c r="E7" i="1"/>
  <c r="F7" i="1"/>
  <c r="F9" i="1"/>
  <c r="N16" i="19"/>
  <c r="S9" i="19"/>
  <c r="N23" i="19"/>
  <c r="S14" i="19"/>
  <c r="N26" i="19"/>
  <c r="S17" i="19"/>
  <c r="N27" i="19"/>
  <c r="Q28" i="19"/>
  <c r="Q27" i="19"/>
  <c r="Q26" i="19"/>
  <c r="Z8" i="19"/>
  <c r="Y8" i="19"/>
  <c r="X8" i="19"/>
  <c r="K4" i="19"/>
  <c r="K3" i="19"/>
  <c r="K2" i="19"/>
  <c r="Z11" i="19"/>
  <c r="Z10" i="19"/>
  <c r="A31" i="19"/>
  <c r="A30" i="19"/>
  <c r="A29" i="19"/>
  <c r="A28" i="19"/>
  <c r="A27" i="19"/>
  <c r="A26" i="19"/>
  <c r="AA3" i="19"/>
  <c r="Z3" i="19"/>
  <c r="Z2" i="19"/>
  <c r="B44" i="19"/>
  <c r="W6" i="19"/>
  <c r="Y6" i="19"/>
  <c r="W3" i="19"/>
  <c r="W2" i="19"/>
  <c r="Q22" i="19"/>
  <c r="Q23" i="19"/>
  <c r="S13" i="19"/>
  <c r="S8" i="19"/>
  <c r="S20" i="19"/>
  <c r="S18" i="19"/>
  <c r="S15" i="19"/>
  <c r="S11" i="19"/>
  <c r="S12" i="19"/>
  <c r="S6" i="19"/>
  <c r="S7" i="19"/>
  <c r="N34" i="19"/>
  <c r="N32" i="19"/>
  <c r="N31" i="19"/>
  <c r="N30" i="19"/>
  <c r="N29" i="19"/>
  <c r="N28" i="19"/>
  <c r="N25" i="19"/>
  <c r="N24" i="19"/>
  <c r="N22" i="19"/>
  <c r="N21" i="19"/>
  <c r="N20" i="19"/>
  <c r="N18" i="19"/>
  <c r="N17" i="19"/>
  <c r="N15" i="19"/>
  <c r="N14" i="19"/>
  <c r="N13" i="19"/>
  <c r="N12" i="19"/>
  <c r="N11" i="19"/>
  <c r="N10" i="19"/>
  <c r="N9" i="19"/>
  <c r="N8" i="19"/>
  <c r="N7" i="19"/>
  <c r="N6" i="19"/>
  <c r="C35" i="11"/>
  <c r="E35" i="11"/>
  <c r="S14" i="11"/>
  <c r="S13" i="11"/>
  <c r="S12" i="11"/>
  <c r="S9" i="11"/>
  <c r="S8" i="11"/>
  <c r="S7" i="11"/>
  <c r="S6" i="11"/>
  <c r="D35" i="11"/>
  <c r="F35" i="11"/>
  <c r="A31" i="11"/>
  <c r="A30" i="11"/>
  <c r="A29" i="11"/>
  <c r="A28" i="11"/>
  <c r="A27" i="11"/>
  <c r="A26" i="11"/>
  <c r="L37" i="19"/>
  <c r="W8" i="19"/>
  <c r="H37" i="19"/>
  <c r="K17" i="3"/>
  <c r="K14" i="3"/>
  <c r="S14" i="3"/>
  <c r="AE14" i="3"/>
  <c r="W22" i="3"/>
  <c r="S17" i="3"/>
  <c r="M10" i="4"/>
  <c r="M16" i="4"/>
  <c r="AD3" i="3"/>
  <c r="U3" i="2"/>
  <c r="Q4" i="2"/>
  <c r="Z3" i="3"/>
  <c r="A5" i="11"/>
  <c r="M14" i="4"/>
  <c r="A5" i="19"/>
  <c r="AA1" i="19"/>
  <c r="N21" i="11"/>
  <c r="S25" i="11"/>
  <c r="N23" i="11"/>
  <c r="N28" i="11"/>
  <c r="S28" i="11"/>
  <c r="N30" i="11"/>
  <c r="N32" i="11"/>
  <c r="V3" i="3"/>
  <c r="N6" i="11"/>
  <c r="N8" i="11"/>
  <c r="N10" i="11"/>
  <c r="N12" i="11"/>
  <c r="N14" i="11"/>
  <c r="N16" i="11"/>
  <c r="N18" i="11"/>
  <c r="S23" i="11"/>
  <c r="R3" i="3"/>
  <c r="B35" i="11"/>
  <c r="N35" i="11"/>
  <c r="B3" i="5"/>
  <c r="S11" i="11"/>
  <c r="S15" i="11"/>
  <c r="S18" i="11"/>
  <c r="S21" i="11"/>
  <c r="Q29" i="19"/>
  <c r="Q30" i="19"/>
  <c r="Q31" i="19"/>
  <c r="Q33" i="19"/>
  <c r="L12" i="4"/>
  <c r="J12" i="4"/>
  <c r="E44" i="19"/>
  <c r="L43" i="19"/>
  <c r="L44" i="19"/>
  <c r="Y5" i="19"/>
  <c r="F3" i="3"/>
  <c r="N3" i="5"/>
  <c r="B3" i="3"/>
  <c r="J3" i="3"/>
  <c r="N3" i="3"/>
  <c r="A14" i="1"/>
  <c r="F3" i="5"/>
  <c r="G47" i="19"/>
  <c r="G49" i="19"/>
  <c r="H47" i="19"/>
  <c r="W5" i="19"/>
  <c r="Q21" i="11"/>
  <c r="R21" i="11"/>
  <c r="N7" i="11"/>
  <c r="N11" i="11"/>
  <c r="N15" i="11"/>
  <c r="N20" i="11"/>
  <c r="N24" i="11"/>
  <c r="N29" i="11"/>
  <c r="R3" i="5"/>
  <c r="J3" i="5"/>
  <c r="N9" i="11"/>
  <c r="N13" i="11"/>
  <c r="N17" i="11"/>
  <c r="N22" i="11"/>
  <c r="S26" i="11"/>
  <c r="N31" i="11"/>
  <c r="H38" i="19"/>
  <c r="P43" i="19"/>
  <c r="M10" i="2"/>
  <c r="U17" i="2"/>
  <c r="AE17" i="3"/>
  <c r="AE23" i="3"/>
  <c r="K19" i="3"/>
  <c r="S19" i="3"/>
  <c r="O17" i="3"/>
  <c r="O22" i="3"/>
  <c r="S22" i="3"/>
  <c r="D73" i="2"/>
  <c r="D74" i="2"/>
  <c r="Q32" i="19"/>
  <c r="Q34" i="19"/>
  <c r="S24" i="11"/>
  <c r="K22" i="3"/>
  <c r="T27" i="11"/>
  <c r="M7" i="4"/>
  <c r="S30" i="11"/>
  <c r="H49" i="19"/>
  <c r="H39" i="19"/>
  <c r="G40" i="19"/>
  <c r="E73" i="2"/>
  <c r="E74" i="2"/>
  <c r="C73" i="2"/>
  <c r="C74" i="2"/>
  <c r="AA21" i="3"/>
  <c r="AE19" i="3"/>
  <c r="W21" i="3"/>
  <c r="S23" i="3"/>
  <c r="F73" i="2"/>
  <c r="F74" i="2"/>
  <c r="O19" i="3"/>
  <c r="K23" i="3"/>
  <c r="S21" i="3"/>
  <c r="O21" i="3"/>
  <c r="K21" i="3"/>
  <c r="AE22" i="3"/>
  <c r="AE21" i="3"/>
  <c r="M15" i="4"/>
  <c r="M17" i="4"/>
  <c r="C14" i="1"/>
  <c r="P37" i="19"/>
  <c r="P39" i="19"/>
  <c r="Q40" i="19"/>
  <c r="X5" i="19"/>
  <c r="M15" i="2"/>
  <c r="W24" i="3"/>
  <c r="AA24" i="3"/>
  <c r="S24" i="3"/>
  <c r="AE24" i="3"/>
  <c r="Q41" i="19"/>
  <c r="P41" i="19"/>
  <c r="AA8" i="19"/>
  <c r="M19" i="2"/>
  <c r="F4" i="1"/>
  <c r="O23" i="3"/>
  <c r="K24" i="3"/>
  <c r="Q42" i="19"/>
  <c r="P42" i="19"/>
  <c r="Z5" i="19"/>
  <c r="P44" i="19"/>
  <c r="Q44" i="19"/>
  <c r="M21" i="4"/>
  <c r="F16" i="1"/>
  <c r="J14" i="1"/>
  <c r="C22" i="1"/>
  <c r="M57" i="4"/>
  <c r="M20" i="2"/>
  <c r="O24" i="3"/>
  <c r="M21" i="2"/>
  <c r="M58" i="4"/>
  <c r="J21" i="1"/>
  <c r="M59" i="4"/>
  <c r="J22" i="1"/>
  <c r="J20" i="1"/>
  <c r="M20" i="4"/>
  <c r="K22" i="5"/>
  <c r="W22" i="5"/>
  <c r="F15" i="1"/>
  <c r="J17" i="1"/>
  <c r="M22" i="4"/>
  <c r="M23" i="4"/>
  <c r="S22" i="5"/>
  <c r="AA25" i="3"/>
  <c r="D22" i="12"/>
  <c r="D7" i="12"/>
  <c r="S23" i="5"/>
  <c r="W23" i="5"/>
  <c r="K23" i="5"/>
  <c r="F17" i="1"/>
  <c r="J15" i="1"/>
  <c r="O22" i="5"/>
  <c r="C22" i="12"/>
  <c r="C7" i="12"/>
  <c r="W25" i="3"/>
  <c r="AA31" i="3"/>
  <c r="AA33" i="3"/>
  <c r="E22" i="12"/>
  <c r="E7" i="12"/>
  <c r="K25" i="3"/>
  <c r="C23" i="12"/>
  <c r="C24" i="12"/>
  <c r="C8" i="12"/>
  <c r="D23" i="12"/>
  <c r="D24" i="12"/>
  <c r="D8" i="12"/>
  <c r="B22" i="12"/>
  <c r="B7" i="12"/>
  <c r="N30" i="4"/>
  <c r="M26" i="4"/>
  <c r="M28" i="4"/>
  <c r="W33" i="3"/>
  <c r="W31" i="3"/>
  <c r="S25" i="3"/>
  <c r="E29" i="2"/>
  <c r="K31" i="3"/>
  <c r="L7" i="12"/>
  <c r="M7" i="12"/>
  <c r="B23" i="12"/>
  <c r="B24" i="12"/>
  <c r="B8" i="12"/>
  <c r="E23" i="12"/>
  <c r="E24" i="12"/>
  <c r="E8" i="12"/>
  <c r="D25" i="12"/>
  <c r="D26" i="12"/>
  <c r="D9" i="12"/>
  <c r="K24" i="5"/>
  <c r="O23" i="5"/>
  <c r="S24" i="5"/>
  <c r="O6" i="4"/>
  <c r="F14" i="1"/>
  <c r="F22" i="1"/>
  <c r="W24" i="5"/>
  <c r="G22" i="5"/>
  <c r="C25" i="12"/>
  <c r="AE31" i="3"/>
  <c r="AE25" i="3"/>
  <c r="T30" i="11"/>
  <c r="S31" i="11"/>
  <c r="E31" i="2"/>
  <c r="K33" i="3"/>
  <c r="D27" i="12"/>
  <c r="D28" i="12"/>
  <c r="D10" i="12"/>
  <c r="B25" i="12"/>
  <c r="B26" i="12"/>
  <c r="B9" i="12"/>
  <c r="O24" i="5"/>
  <c r="W25" i="5"/>
  <c r="K25" i="5"/>
  <c r="E25" i="12"/>
  <c r="E26" i="12"/>
  <c r="E9" i="12"/>
  <c r="N33" i="4"/>
  <c r="P8" i="4"/>
  <c r="Q8" i="4"/>
  <c r="G23" i="5"/>
  <c r="C26" i="12"/>
  <c r="C9" i="12"/>
  <c r="S33" i="3"/>
  <c r="S31" i="3"/>
  <c r="F29" i="2"/>
  <c r="O31" i="3"/>
  <c r="O25" i="3"/>
  <c r="L8" i="12"/>
  <c r="M8" i="12"/>
  <c r="W26" i="5"/>
  <c r="C27" i="12"/>
  <c r="C28" i="12"/>
  <c r="C10" i="12"/>
  <c r="O25" i="5"/>
  <c r="B27" i="12"/>
  <c r="B28" i="12"/>
  <c r="B10" i="12"/>
  <c r="D29" i="12"/>
  <c r="D30" i="12"/>
  <c r="D11" i="12"/>
  <c r="S25" i="5"/>
  <c r="E27" i="12"/>
  <c r="P9" i="4"/>
  <c r="Q9" i="4"/>
  <c r="N35" i="4"/>
  <c r="AE33" i="3"/>
  <c r="F31" i="2"/>
  <c r="O33" i="3"/>
  <c r="M29" i="2"/>
  <c r="M31" i="2"/>
  <c r="O8" i="2"/>
  <c r="S26" i="5"/>
  <c r="D31" i="12"/>
  <c r="D32" i="12"/>
  <c r="D12" i="12"/>
  <c r="B29" i="12"/>
  <c r="B30" i="12"/>
  <c r="B11" i="12"/>
  <c r="O26" i="5"/>
  <c r="E28" i="12"/>
  <c r="E10" i="12"/>
  <c r="C29" i="12"/>
  <c r="K26" i="5"/>
  <c r="G24" i="5"/>
  <c r="F2" i="1"/>
  <c r="F10" i="1"/>
  <c r="L9" i="12"/>
  <c r="M9" i="12"/>
  <c r="D33" i="12"/>
  <c r="D34" i="12"/>
  <c r="D13" i="12"/>
  <c r="C30" i="12"/>
  <c r="C11" i="12"/>
  <c r="P10" i="4"/>
  <c r="Q10" i="4"/>
  <c r="N37" i="4"/>
  <c r="B31" i="12"/>
  <c r="W27" i="5"/>
  <c r="E29" i="12"/>
  <c r="G25" i="5"/>
  <c r="D35" i="12"/>
  <c r="D36" i="12"/>
  <c r="D14" i="12"/>
  <c r="P11" i="4"/>
  <c r="Q11" i="4"/>
  <c r="N39" i="4"/>
  <c r="E30" i="12"/>
  <c r="E11" i="12"/>
  <c r="O27" i="5"/>
  <c r="S27" i="5"/>
  <c r="C31" i="12"/>
  <c r="G26" i="5"/>
  <c r="W28" i="5"/>
  <c r="B32" i="12"/>
  <c r="B12" i="12"/>
  <c r="K27" i="5"/>
  <c r="L10" i="12"/>
  <c r="M10" i="12"/>
  <c r="E31" i="12"/>
  <c r="E32" i="12"/>
  <c r="E12" i="12"/>
  <c r="D37" i="12"/>
  <c r="D38" i="12"/>
  <c r="D15" i="12"/>
  <c r="O28" i="5"/>
  <c r="G27" i="5"/>
  <c r="B33" i="12"/>
  <c r="P12" i="4"/>
  <c r="Q12" i="4"/>
  <c r="N41" i="4"/>
  <c r="C32" i="12"/>
  <c r="C12" i="12"/>
  <c r="C33" i="12"/>
  <c r="C34" i="12"/>
  <c r="C13" i="12"/>
  <c r="D39" i="12"/>
  <c r="E33" i="12"/>
  <c r="S28" i="5"/>
  <c r="W29" i="5"/>
  <c r="K28" i="5"/>
  <c r="P13" i="4"/>
  <c r="Q13" i="4"/>
  <c r="N43" i="4"/>
  <c r="B34" i="12"/>
  <c r="B13" i="12"/>
  <c r="L11" i="12"/>
  <c r="M11" i="12"/>
  <c r="B35" i="12"/>
  <c r="B36" i="12"/>
  <c r="B14" i="12"/>
  <c r="C35" i="12"/>
  <c r="C36" i="12"/>
  <c r="C14" i="12"/>
  <c r="K29" i="5"/>
  <c r="W30" i="5"/>
  <c r="S29" i="5"/>
  <c r="E34" i="12"/>
  <c r="E13" i="12"/>
  <c r="G28" i="5"/>
  <c r="O29" i="5"/>
  <c r="O30" i="5"/>
  <c r="E35" i="12"/>
  <c r="E36" i="12"/>
  <c r="E14" i="12"/>
  <c r="W31" i="5"/>
  <c r="K30" i="5"/>
  <c r="C37" i="12"/>
  <c r="C38" i="12"/>
  <c r="C15" i="12"/>
  <c r="B37" i="12"/>
  <c r="B38" i="12"/>
  <c r="B15" i="12"/>
  <c r="G29" i="5"/>
  <c r="N45" i="4"/>
  <c r="Q14" i="4"/>
  <c r="L12" i="12"/>
  <c r="M12" i="12"/>
  <c r="S30" i="5"/>
  <c r="Q15" i="4"/>
  <c r="N47" i="4"/>
  <c r="B39" i="12"/>
  <c r="C39" i="12"/>
  <c r="L53" i="4"/>
  <c r="E37" i="12"/>
  <c r="S31" i="5"/>
  <c r="G30" i="5"/>
  <c r="E38" i="12"/>
  <c r="E15" i="12"/>
  <c r="K31" i="5"/>
  <c r="O31" i="5"/>
  <c r="L13" i="12"/>
  <c r="M13" i="12"/>
  <c r="J53" i="4"/>
  <c r="D53" i="4"/>
  <c r="K53" i="4"/>
  <c r="E53" i="4"/>
  <c r="E39" i="12"/>
  <c r="Q16" i="4"/>
  <c r="N49" i="4"/>
  <c r="G31" i="5"/>
  <c r="L14" i="12"/>
  <c r="M14" i="12"/>
  <c r="P17" i="4"/>
  <c r="Q17" i="4"/>
  <c r="Q18" i="4"/>
  <c r="N51" i="4"/>
  <c r="N53" i="4"/>
  <c r="M54" i="4"/>
  <c r="L15" i="12"/>
  <c r="M15" i="12"/>
  <c r="M6" i="12"/>
  <c r="M3" i="12"/>
  <c r="C6" i="5"/>
</calcChain>
</file>

<file path=xl/comments1.xml><?xml version="1.0" encoding="utf-8"?>
<comments xmlns="http://schemas.openxmlformats.org/spreadsheetml/2006/main">
  <authors>
    <author>山本秀樹</author>
    <author>user</author>
    <author>山本 秀樹</author>
  </authors>
  <commentList>
    <comment ref="B3" authorId="0">
      <text>
        <r>
          <rPr>
            <sz val="10"/>
            <color indexed="81"/>
            <rFont val="Osaka"/>
            <family val="3"/>
            <charset val="128"/>
          </rPr>
          <t xml:space="preserve">計算の対象となる西暦を入力します。
この年の1月1日付けで関連の処理が行われます。
</t>
        </r>
      </text>
    </comment>
    <comment ref="A5" authorId="1">
      <text>
        <r>
          <rPr>
            <b/>
            <sz val="9"/>
            <color indexed="81"/>
            <rFont val="ＭＳ Ｐゴシック"/>
            <family val="3"/>
            <charset val="128"/>
          </rPr>
          <t xml:space="preserve">給与明細の表示順
台帳作成時に自動割り付けします。
</t>
        </r>
        <r>
          <rPr>
            <sz val="9"/>
            <color indexed="81"/>
            <rFont val="ＭＳ Ｐゴシック"/>
            <family val="3"/>
            <charset val="128"/>
          </rPr>
          <t xml:space="preserve">
</t>
        </r>
      </text>
    </comment>
    <comment ref="B5" authorId="0">
      <text>
        <r>
          <rPr>
            <b/>
            <sz val="10"/>
            <color indexed="81"/>
            <rFont val="Osaka"/>
            <family val="3"/>
            <charset val="128"/>
          </rPr>
          <t>役員は「1」：社保
従業員は「2」：社保、雇保
パートは「3」：なし
退職者は「0」
「1」または「2」の場合に、給与台帳を作成します。</t>
        </r>
      </text>
    </comment>
    <comment ref="C5" authorId="0">
      <text>
        <r>
          <rPr>
            <b/>
            <sz val="10"/>
            <color indexed="81"/>
            <rFont val="Osaka"/>
            <family val="3"/>
            <charset val="128"/>
          </rPr>
          <t>数字以外の文字も使用できます。</t>
        </r>
        <r>
          <rPr>
            <sz val="10"/>
            <color indexed="81"/>
            <rFont val="Osaka"/>
            <family val="3"/>
            <charset val="128"/>
          </rPr>
          <t xml:space="preserve">
</t>
        </r>
      </text>
    </comment>
    <comment ref="F5" authorId="0">
      <text>
        <r>
          <rPr>
            <b/>
            <sz val="10"/>
            <color indexed="81"/>
            <rFont val="Osaka"/>
            <family val="3"/>
            <charset val="128"/>
          </rPr>
          <t>各人の名前で台帳のシートを作成します。
注：同姓同名の場合、同じ名前のシートは作成できませんので見分けが付くように名称を工夫してください。</t>
        </r>
      </text>
    </comment>
    <comment ref="N5" authorId="2">
      <text>
        <r>
          <rPr>
            <b/>
            <sz val="10"/>
            <color indexed="81"/>
            <rFont val="Osaka"/>
            <family val="3"/>
            <charset val="128"/>
          </rPr>
          <t>40歳になる月の保険料を預かる月から適用（前月分を徴収している）</t>
        </r>
      </text>
    </comment>
  </commentList>
</comments>
</file>

<file path=xl/comments2.xml><?xml version="1.0" encoding="utf-8"?>
<comments xmlns="http://schemas.openxmlformats.org/spreadsheetml/2006/main">
  <authors>
    <author>山本 秀樹</author>
    <author>user</author>
  </authors>
  <commentList>
    <comment ref="B7" authorId="0">
      <text>
        <r>
          <rPr>
            <b/>
            <sz val="12"/>
            <color indexed="81"/>
            <rFont val="Osaka"/>
            <family val="3"/>
            <charset val="128"/>
          </rPr>
          <t>４月に見直し</t>
        </r>
      </text>
    </comment>
    <comment ref="B14" authorId="0">
      <text>
        <r>
          <rPr>
            <sz val="12"/>
            <color indexed="81"/>
            <rFont val="Osaka"/>
            <family val="3"/>
            <charset val="128"/>
          </rPr>
          <t>非課税額
45km未満：20900円
45km以上：24900円</t>
        </r>
      </text>
    </comment>
    <comment ref="B44" authorId="1">
      <text>
        <r>
          <rPr>
            <b/>
            <sz val="9"/>
            <color indexed="81"/>
            <rFont val="ＭＳ Ｐゴシック"/>
            <family val="3"/>
            <charset val="128"/>
          </rPr>
          <t>一円未満切り上げ</t>
        </r>
      </text>
    </comment>
    <comment ref="B57" authorId="1">
      <text>
        <r>
          <rPr>
            <b/>
            <sz val="9"/>
            <color indexed="81"/>
            <rFont val="ＭＳ Ｐゴシック"/>
            <family val="3"/>
            <charset val="128"/>
          </rPr>
          <t>10円未満四捨五入</t>
        </r>
      </text>
    </comment>
    <comment ref="M60" authorId="1">
      <text>
        <r>
          <rPr>
            <b/>
            <sz val="9"/>
            <color indexed="81"/>
            <rFont val="ＭＳ Ｐゴシック"/>
            <family val="3"/>
            <charset val="128"/>
          </rPr>
          <t>区分が「1」の場合、雇用保険は計算しません。
「2」の場合のみ計算します。</t>
        </r>
      </text>
    </comment>
    <comment ref="M61" authorId="1">
      <text>
        <r>
          <rPr>
            <b/>
            <sz val="9"/>
            <color indexed="81"/>
            <rFont val="ＭＳ Ｐゴシック"/>
            <family val="3"/>
            <charset val="128"/>
          </rPr>
          <t>保険料額表より</t>
        </r>
      </text>
    </comment>
  </commentList>
</comments>
</file>

<file path=xl/comments3.xml><?xml version="1.0" encoding="utf-8"?>
<comments xmlns="http://schemas.openxmlformats.org/spreadsheetml/2006/main">
  <authors>
    <author>user</author>
  </authors>
  <commentList>
    <comment ref="B13" authorId="0">
      <text>
        <r>
          <rPr>
            <b/>
            <sz val="9"/>
            <color indexed="81"/>
            <rFont val="ＭＳ Ｐゴシック"/>
            <family val="3"/>
            <charset val="128"/>
          </rPr>
          <t>定額修正に金額を入れると、定額基礎の金額がそれに置き換わる。</t>
        </r>
      </text>
    </comment>
    <comment ref="B14" authorId="0">
      <text>
        <r>
          <rPr>
            <b/>
            <sz val="9"/>
            <color indexed="81"/>
            <rFont val="ＭＳ Ｐゴシック"/>
            <family val="3"/>
            <charset val="128"/>
          </rPr>
          <t>定額基礎は基本給と同額</t>
        </r>
      </text>
    </comment>
  </commentList>
</comments>
</file>

<file path=xl/sharedStrings.xml><?xml version="1.0" encoding="utf-8"?>
<sst xmlns="http://schemas.openxmlformats.org/spreadsheetml/2006/main" count="738" uniqueCount="436">
  <si>
    <t>氏名</t>
    <rPh sb="0" eb="2">
      <t>シメイ</t>
    </rPh>
    <phoneticPr fontId="9"/>
  </si>
  <si>
    <t>交通費</t>
  </si>
  <si>
    <t>通勤費</t>
  </si>
  <si>
    <t>給与所得控除後の</t>
  </si>
  <si>
    <t>還元率</t>
  </si>
  <si>
    <t>同居特別障害者</t>
  </si>
  <si>
    <t>特定</t>
  </si>
  <si>
    <t>生年月日</t>
  </si>
  <si>
    <t>社会保険料</t>
  </si>
  <si>
    <t>預り金</t>
  </si>
  <si>
    <t>健康保険料</t>
  </si>
  <si>
    <t>法定福利費</t>
  </si>
  <si>
    <t>差引年税額</t>
  </si>
  <si>
    <t>厚生年金</t>
  </si>
  <si>
    <t>旅費交通費</t>
  </si>
  <si>
    <t>源泉所得税</t>
  </si>
  <si>
    <t>６月</t>
  </si>
  <si>
    <t>３ヶ月平均</t>
    <rPh sb="1" eb="5">
      <t>カゲツヘイキン</t>
    </rPh>
    <phoneticPr fontId="9"/>
  </si>
  <si>
    <t>配偶者特別控除</t>
  </si>
  <si>
    <t>源泉所得税へ転記</t>
  </si>
  <si>
    <t>同居</t>
  </si>
  <si>
    <t>基本給与</t>
    <rPh sb="2" eb="4">
      <t>キュウヨ</t>
    </rPh>
    <phoneticPr fontId="9"/>
  </si>
  <si>
    <t>金額</t>
  </si>
  <si>
    <t>一般扶養親族</t>
  </si>
  <si>
    <t>健康保険</t>
    <rPh sb="0" eb="4">
      <t>ケンコウホケンリョウケイサン</t>
    </rPh>
    <phoneticPr fontId="9"/>
  </si>
  <si>
    <t>電話</t>
  </si>
  <si>
    <t>能力手当</t>
  </si>
  <si>
    <t>不足額</t>
    <rPh sb="0" eb="3">
      <t>フソクガク</t>
    </rPh>
    <phoneticPr fontId="9"/>
  </si>
  <si>
    <t>年末給与額</t>
  </si>
  <si>
    <t>(19)</t>
  </si>
  <si>
    <t>売上還元額</t>
    <rPh sb="0" eb="2">
      <t>ウリアゲ</t>
    </rPh>
    <rPh sb="2" eb="5">
      <t>カンゲンガク</t>
    </rPh>
    <phoneticPr fontId="9"/>
  </si>
  <si>
    <t>控除額</t>
    <rPh sb="0" eb="3">
      <t>コウジョガク</t>
    </rPh>
    <phoneticPr fontId="9"/>
  </si>
  <si>
    <t>住宅手当</t>
  </si>
  <si>
    <t>住宅取得控除</t>
  </si>
  <si>
    <t>同居老人</t>
  </si>
  <si>
    <t>資格手当</t>
  </si>
  <si>
    <t>基準賃金</t>
  </si>
  <si>
    <t>差引額</t>
    <rPh sb="0" eb="3">
      <t>サシヒキガク</t>
    </rPh>
    <phoneticPr fontId="9"/>
  </si>
  <si>
    <t>別表第一</t>
  </si>
  <si>
    <t>給与所得控除額</t>
  </si>
  <si>
    <t>平均</t>
  </si>
  <si>
    <t>（Ａ）源泉基本</t>
  </si>
  <si>
    <t>賞与合計</t>
  </si>
  <si>
    <t>役職</t>
    <rPh sb="0" eb="2">
      <t>ヤクショク</t>
    </rPh>
    <phoneticPr fontId="9"/>
  </si>
  <si>
    <t>１月</t>
  </si>
  <si>
    <t>合計</t>
  </si>
  <si>
    <t>給与との金額</t>
  </si>
  <si>
    <t>不可</t>
  </si>
  <si>
    <t>皆勤手当</t>
  </si>
  <si>
    <t>還元額</t>
  </si>
  <si>
    <t>総支給額</t>
  </si>
  <si>
    <t>（Ｂ）</t>
  </si>
  <si>
    <t>住所2</t>
    <rPh sb="0" eb="2">
      <t>ジュウショ</t>
    </rPh>
    <phoneticPr fontId="9"/>
  </si>
  <si>
    <t>(16)</t>
  </si>
  <si>
    <t>健保</t>
    <rPh sb="0" eb="2">
      <t>ケンポ</t>
    </rPh>
    <phoneticPr fontId="9"/>
  </si>
  <si>
    <t>介護</t>
    <rPh sb="0" eb="2">
      <t>カイゴ</t>
    </rPh>
    <phoneticPr fontId="9"/>
  </si>
  <si>
    <t>上限額</t>
    <rPh sb="0" eb="3">
      <t>ジョウゲンガク</t>
    </rPh>
    <phoneticPr fontId="9"/>
  </si>
  <si>
    <t>(22)</t>
  </si>
  <si>
    <t>年度分</t>
    <rPh sb="0" eb="2">
      <t>ネンド</t>
    </rPh>
    <rPh sb="2" eb="3">
      <t>ブン</t>
    </rPh>
    <phoneticPr fontId="9"/>
  </si>
  <si>
    <t>（お）</t>
    <phoneticPr fontId="9"/>
  </si>
  <si>
    <t>（き）徴収税額</t>
    <rPh sb="3" eb="7">
      <t>ゲンセンチョウシュウゼイガク</t>
    </rPh>
    <phoneticPr fontId="9"/>
  </si>
  <si>
    <t>氏名</t>
  </si>
  <si>
    <t>金種表</t>
  </si>
  <si>
    <t>（0:なし/1以上:人数）</t>
  </si>
  <si>
    <t>本人＋扶養者数</t>
  </si>
  <si>
    <t>有効数</t>
    <rPh sb="0" eb="3">
      <t>ユウコウスウ</t>
    </rPh>
    <phoneticPr fontId="9"/>
  </si>
  <si>
    <t>←適用年齢</t>
    <rPh sb="1" eb="5">
      <t>テキヨウネンレイ</t>
    </rPh>
    <phoneticPr fontId="9"/>
  </si>
  <si>
    <t>扶養者数</t>
    <rPh sb="0" eb="4">
      <t>フヨウシャスウ</t>
    </rPh>
    <phoneticPr fontId="9"/>
  </si>
  <si>
    <t>（Ａ）</t>
  </si>
  <si>
    <t>厚年等級</t>
    <rPh sb="0" eb="4">
      <t>コウセイネンキントウキュウ</t>
    </rPh>
    <phoneticPr fontId="9"/>
  </si>
  <si>
    <t>還付額</t>
    <rPh sb="0" eb="2">
      <t>カンプ</t>
    </rPh>
    <phoneticPr fontId="9"/>
  </si>
  <si>
    <t>算出年税額</t>
    <rPh sb="0" eb="2">
      <t>サンシュツ</t>
    </rPh>
    <phoneticPr fontId="9"/>
  </si>
  <si>
    <t>同居外</t>
  </si>
  <si>
    <t>冬期賞与</t>
  </si>
  <si>
    <t>←手入力</t>
    <rPh sb="1" eb="2">
      <t>テケイサン</t>
    </rPh>
    <rPh sb="2" eb="4">
      <t>ニュウリョク</t>
    </rPh>
    <phoneticPr fontId="9"/>
  </si>
  <si>
    <t>控除額</t>
  </si>
  <si>
    <t>年調給与額</t>
  </si>
  <si>
    <t>基礎控除</t>
  </si>
  <si>
    <t>(7)</t>
  </si>
  <si>
    <t>郵便番号</t>
    <rPh sb="0" eb="4">
      <t>ユウビンバンゴウ</t>
    </rPh>
    <phoneticPr fontId="9"/>
  </si>
  <si>
    <t>小規模企業共済</t>
  </si>
  <si>
    <t>特定扶養親族</t>
  </si>
  <si>
    <t>等級</t>
  </si>
  <si>
    <t>健保等級</t>
    <rPh sb="0" eb="4">
      <t>ケンポトウキュウ</t>
    </rPh>
    <phoneticPr fontId="9"/>
  </si>
  <si>
    <t>４月</t>
  </si>
  <si>
    <t>５月</t>
  </si>
  <si>
    <t>２月</t>
  </si>
  <si>
    <t>同居老親</t>
    <rPh sb="3" eb="4">
      <t>オヤ</t>
    </rPh>
    <phoneticPr fontId="9"/>
  </si>
  <si>
    <t>10月</t>
  </si>
  <si>
    <t>家族手当</t>
    <rPh sb="0" eb="4">
      <t>カゾクテアテ</t>
    </rPh>
    <phoneticPr fontId="9"/>
  </si>
  <si>
    <t>賞与</t>
  </si>
  <si>
    <t>所得合計</t>
  </si>
  <si>
    <t>%</t>
    <phoneticPr fontId="9"/>
  </si>
  <si>
    <t>給与明細</t>
  </si>
  <si>
    <t>控除後の給与</t>
  </si>
  <si>
    <t>（Ｐ）損害保険</t>
    <rPh sb="3" eb="7">
      <t>ソンガイホケン</t>
    </rPh>
    <phoneticPr fontId="9"/>
  </si>
  <si>
    <t>11月</t>
  </si>
  <si>
    <t>階差</t>
  </si>
  <si>
    <t>８月</t>
  </si>
  <si>
    <t>賞与等支払届へ記入</t>
    <rPh sb="0" eb="6">
      <t>ショウヨトウシハライトドケ</t>
    </rPh>
    <rPh sb="7" eb="9">
      <t>キニュウ</t>
    </rPh>
    <phoneticPr fontId="9"/>
  </si>
  <si>
    <t>雇用保険</t>
  </si>
  <si>
    <t>及び退職所得税額表</t>
    <rPh sb="0" eb="1">
      <t>オヨ</t>
    </rPh>
    <rPh sb="2" eb="6">
      <t>タイショクショトク</t>
    </rPh>
    <rPh sb="6" eb="9">
      <t>ゼイガクヒョウｙヒョウ</t>
    </rPh>
    <phoneticPr fontId="9"/>
  </si>
  <si>
    <t>最小値</t>
  </si>
  <si>
    <t>Ｂ−Ｆ</t>
  </si>
  <si>
    <t>年末調整のための計算表</t>
    <rPh sb="0" eb="4">
      <t>ネンマツチョウセイ</t>
    </rPh>
    <rPh sb="8" eb="11">
      <t>ケイサンヒョウ</t>
    </rPh>
    <phoneticPr fontId="9"/>
  </si>
  <si>
    <t>役員報酬</t>
    <rPh sb="0" eb="4">
      <t>ヤクインホウシュウ</t>
    </rPh>
    <phoneticPr fontId="9"/>
  </si>
  <si>
    <t>控除率</t>
    <rPh sb="0" eb="3">
      <t>コウジョリツ</t>
    </rPh>
    <phoneticPr fontId="9"/>
  </si>
  <si>
    <t>基本給与</t>
    <rPh sb="0" eb="2">
      <t>キホンキュウ</t>
    </rPh>
    <rPh sb="2" eb="4">
      <t>キュウヨ</t>
    </rPh>
    <phoneticPr fontId="9"/>
  </si>
  <si>
    <t>（所得税等負担軽減措置法別表第三）</t>
    <rPh sb="1" eb="5">
      <t>ショトクゼイトウ</t>
    </rPh>
    <rPh sb="5" eb="11">
      <t>フタンケイゲンソチ</t>
    </rPh>
    <rPh sb="11" eb="12">
      <t>ホウ</t>
    </rPh>
    <rPh sb="12" eb="16">
      <t>ベッピョウダイ３</t>
    </rPh>
    <phoneticPr fontId="9"/>
  </si>
  <si>
    <t>（セ）</t>
  </si>
  <si>
    <t>一般</t>
    <rPh sb="0" eb="2">
      <t>イッパン</t>
    </rPh>
    <phoneticPr fontId="9"/>
  </si>
  <si>
    <t>源泉所得税計算</t>
  </si>
  <si>
    <t>雇用保険</t>
    <rPh sb="0" eb="4">
      <t>コヨウホケン</t>
    </rPh>
    <phoneticPr fontId="9"/>
  </si>
  <si>
    <t>年少扶養親族</t>
    <rPh sb="0" eb="6">
      <t>ネンショウフヨウシンゾク</t>
    </rPh>
    <phoneticPr fontId="9"/>
  </si>
  <si>
    <t>料率</t>
  </si>
  <si>
    <t>Ａ*</t>
  </si>
  <si>
    <t>/1000</t>
  </si>
  <si>
    <t>生命保険料</t>
  </si>
  <si>
    <t>控除額</t>
    <rPh sb="0" eb="2">
      <t>ショトクコウジョ</t>
    </rPh>
    <rPh sb="2" eb="3">
      <t>ガク</t>
    </rPh>
    <phoneticPr fontId="9"/>
  </si>
  <si>
    <t>年齢</t>
    <rPh sb="0" eb="2">
      <t>ネンレイ</t>
    </rPh>
    <phoneticPr fontId="9"/>
  </si>
  <si>
    <t>Ｂ</t>
    <phoneticPr fontId="9"/>
  </si>
  <si>
    <t>加算額</t>
    <rPh sb="0" eb="2">
      <t>カサン</t>
    </rPh>
    <rPh sb="2" eb="3">
      <t>サシヒキガク</t>
    </rPh>
    <phoneticPr fontId="9"/>
  </si>
  <si>
    <t>一人当たり</t>
  </si>
  <si>
    <t>16歳未満</t>
    <rPh sb="2" eb="5">
      <t>サイミマン</t>
    </rPh>
    <phoneticPr fontId="9"/>
  </si>
  <si>
    <t>控除合計</t>
  </si>
  <si>
    <t>保険料額</t>
  </si>
  <si>
    <t>半期売上</t>
  </si>
  <si>
    <t>別表第二</t>
  </si>
  <si>
    <t>（く）住宅控除</t>
    <rPh sb="3" eb="7">
      <t>ジュウタクコウジョ</t>
    </rPh>
    <phoneticPr fontId="9"/>
  </si>
  <si>
    <t>保険料Ａ</t>
  </si>
  <si>
    <t>賞与に対する源泉徴収税額の算出率の表</t>
    <rPh sb="0" eb="2">
      <t>ショウヨ</t>
    </rPh>
    <rPh sb="3" eb="4">
      <t>タイ</t>
    </rPh>
    <rPh sb="6" eb="12">
      <t>ゲンセンチョウシュウゼイガク</t>
    </rPh>
    <rPh sb="13" eb="16">
      <t>サンシュツリツ</t>
    </rPh>
    <rPh sb="17" eb="18">
      <t>ヒョウ</t>
    </rPh>
    <phoneticPr fontId="9"/>
  </si>
  <si>
    <t>能力還元</t>
  </si>
  <si>
    <t>(17)</t>
  </si>
  <si>
    <t>課税率</t>
  </si>
  <si>
    <t>基礎年金番号</t>
    <rPh sb="0" eb="4">
      <t>キソネンキン</t>
    </rPh>
    <rPh sb="4" eb="6">
      <t>シャカイホケンバンゴウ</t>
    </rPh>
    <phoneticPr fontId="9"/>
  </si>
  <si>
    <t>平均の等級</t>
    <rPh sb="0" eb="2">
      <t>ヘイキン</t>
    </rPh>
    <rPh sb="3" eb="5">
      <t>トウキュウ</t>
    </rPh>
    <phoneticPr fontId="9"/>
  </si>
  <si>
    <t>還元率</t>
    <rPh sb="0" eb="3">
      <t>カンゲンリツ</t>
    </rPh>
    <phoneticPr fontId="9"/>
  </si>
  <si>
    <t>老人扶養親族</t>
  </si>
  <si>
    <t>円</t>
    <rPh sb="0" eb="1">
      <t>センエン</t>
    </rPh>
    <phoneticPr fontId="9"/>
  </si>
  <si>
    <t>雇用保険料計算</t>
    <rPh sb="0" eb="5">
      <t>コヨウホケンリョウ</t>
    </rPh>
    <phoneticPr fontId="9"/>
  </si>
  <si>
    <t>(20)</t>
  </si>
  <si>
    <t>その他</t>
  </si>
  <si>
    <t>等級</t>
    <rPh sb="0" eb="2">
      <t>トウキュウ</t>
    </rPh>
    <phoneticPr fontId="9"/>
  </si>
  <si>
    <t>千円</t>
  </si>
  <si>
    <t>円</t>
  </si>
  <si>
    <t>介護保険</t>
    <rPh sb="0" eb="4">
      <t>カイゴホケン</t>
    </rPh>
    <phoneticPr fontId="9"/>
  </si>
  <si>
    <t>支給総額</t>
  </si>
  <si>
    <t>年間差引支給額</t>
  </si>
  <si>
    <t>(10)</t>
  </si>
  <si>
    <t>%</t>
    <phoneticPr fontId="9"/>
  </si>
  <si>
    <t>課税標準</t>
  </si>
  <si>
    <t>前月課税標準</t>
  </si>
  <si>
    <t>年末調整</t>
  </si>
  <si>
    <t>年調年税額</t>
  </si>
  <si>
    <t>住所1</t>
    <rPh sb="0" eb="2">
      <t>ジュウショ</t>
    </rPh>
    <phoneticPr fontId="9"/>
  </si>
  <si>
    <t>才以上</t>
    <rPh sb="0" eb="1">
      <t>サイ</t>
    </rPh>
    <rPh sb="1" eb="3">
      <t>イジョウ</t>
    </rPh>
    <phoneticPr fontId="9"/>
  </si>
  <si>
    <t>給与・賞与</t>
    <rPh sb="0" eb="2">
      <t>キュウヨ</t>
    </rPh>
    <rPh sb="3" eb="5">
      <t>ショウヨ</t>
    </rPh>
    <phoneticPr fontId="9"/>
  </si>
  <si>
    <t>扶養親族</t>
    <rPh sb="0" eb="4">
      <t>フヨウシンゾク</t>
    </rPh>
    <phoneticPr fontId="9"/>
  </si>
  <si>
    <t>Ａ</t>
    <phoneticPr fontId="9"/>
  </si>
  <si>
    <t>●●●●●</t>
  </si>
  <si>
    <t>（Ａ）支払金額</t>
    <rPh sb="3" eb="7">
      <t>シハライキンガク</t>
    </rPh>
    <phoneticPr fontId="9"/>
  </si>
  <si>
    <t>個別売上</t>
    <rPh sb="0" eb="4">
      <t>コベツウリアゲ</t>
    </rPh>
    <phoneticPr fontId="9"/>
  </si>
  <si>
    <t>健康保険・厚生年金保険賞与等支払届</t>
  </si>
  <si>
    <t>小計</t>
  </si>
  <si>
    <t>厚生年金保険</t>
    <rPh sb="0" eb="6">
      <t>コウセイネンキンホケン</t>
    </rPh>
    <phoneticPr fontId="9"/>
  </si>
  <si>
    <t>差引支給額</t>
  </si>
  <si>
    <t>年間総支給額</t>
  </si>
  <si>
    <t>電話番号</t>
    <rPh sb="0" eb="4">
      <t>デンワバンゴウ</t>
    </rPh>
    <phoneticPr fontId="9"/>
  </si>
  <si>
    <t>（Ｂ）控除後</t>
    <rPh sb="3" eb="6">
      <t>コウジョゴ</t>
    </rPh>
    <phoneticPr fontId="9"/>
  </si>
  <si>
    <t>給与</t>
  </si>
  <si>
    <t>社保給与から控除</t>
  </si>
  <si>
    <t>基礎計算</t>
  </si>
  <si>
    <t>所得税額</t>
  </si>
  <si>
    <t>３月〜12月</t>
  </si>
  <si>
    <t>特記事項</t>
    <rPh sb="0" eb="4">
      <t>トッキジコウ</t>
    </rPh>
    <phoneticPr fontId="9"/>
  </si>
  <si>
    <t>(9)</t>
  </si>
  <si>
    <t>所得控除額合計</t>
    <rPh sb="0" eb="2">
      <t>ショトク</t>
    </rPh>
    <rPh sb="4" eb="5">
      <t>ガク</t>
    </rPh>
    <phoneticPr fontId="9"/>
  </si>
  <si>
    <t>課税率計算表</t>
  </si>
  <si>
    <t>（Ｃ）＝Ａ−Ｃ</t>
  </si>
  <si>
    <t>12月</t>
  </si>
  <si>
    <t>役員報酬</t>
  </si>
  <si>
    <t>(15)</t>
  </si>
  <si>
    <t>算定基礎届</t>
  </si>
  <si>
    <t>社会保険料計算</t>
  </si>
  <si>
    <t>雇用保険番号</t>
    <rPh sb="0" eb="6">
      <t>コヨウホケンバンゴウ</t>
    </rPh>
    <phoneticPr fontId="9"/>
  </si>
  <si>
    <t>(13)</t>
  </si>
  <si>
    <t>当座預金</t>
  </si>
  <si>
    <t>月額</t>
    <rPh sb="0" eb="2">
      <t>ゲツガク</t>
    </rPh>
    <phoneticPr fontId="9"/>
  </si>
  <si>
    <t>雇用保険料</t>
  </si>
  <si>
    <t>源泉徴収額</t>
    <rPh sb="0" eb="5">
      <t>ゲンセンチョウシュウガク</t>
    </rPh>
    <phoneticPr fontId="9"/>
  </si>
  <si>
    <t>住所</t>
    <phoneticPr fontId="9"/>
  </si>
  <si>
    <t>種別</t>
    <rPh sb="0" eb="2">
      <t>シュベツ</t>
    </rPh>
    <phoneticPr fontId="9"/>
  </si>
  <si>
    <t>所得税率：６・11月の社会保険料控除後の金額によって税率が決定</t>
  </si>
  <si>
    <t>Ｃ×料率</t>
  </si>
  <si>
    <t>0: 年末調整用/ 1: 退職用</t>
    <rPh sb="3" eb="7">
      <t>ネンマツチョウセイゴ</t>
    </rPh>
    <rPh sb="7" eb="8">
      <t>ヨウ</t>
    </rPh>
    <rPh sb="13" eb="16">
      <t>タイショクヨウ</t>
    </rPh>
    <phoneticPr fontId="9"/>
  </si>
  <si>
    <t>配偶者</t>
    <rPh sb="0" eb="3">
      <t>ハイグウシャ</t>
    </rPh>
    <phoneticPr fontId="9"/>
  </si>
  <si>
    <t>夏期賞与</t>
  </si>
  <si>
    <t>健康保険</t>
    <rPh sb="0" eb="4">
      <t>ケンコウホケン</t>
    </rPh>
    <phoneticPr fontId="9"/>
  </si>
  <si>
    <t>振込先</t>
    <rPh sb="0" eb="3">
      <t>フリコミサキ</t>
    </rPh>
    <phoneticPr fontId="9"/>
  </si>
  <si>
    <t>健保月額</t>
    <rPh sb="0" eb="2">
      <t>ケンポトウキュウ</t>
    </rPh>
    <rPh sb="2" eb="4">
      <t>ゲツガク</t>
    </rPh>
    <phoneticPr fontId="9"/>
  </si>
  <si>
    <t>配特</t>
    <rPh sb="0" eb="2">
      <t>ハイグウシャトクベツコウジョ</t>
    </rPh>
    <phoneticPr fontId="9"/>
  </si>
  <si>
    <t>（0:なし/1:一般/2:老人）</t>
  </si>
  <si>
    <t>(8)</t>
  </si>
  <si>
    <t>（Ｄ）＝Ａ−Ｃ</t>
  </si>
  <si>
    <t>（Ｄ）</t>
  </si>
  <si>
    <t>３月</t>
  </si>
  <si>
    <t>↓</t>
  </si>
  <si>
    <t>給与所得控除の額</t>
    <rPh sb="0" eb="6">
      <t>キュウヨショトクコウジョ</t>
    </rPh>
    <rPh sb="7" eb="8">
      <t>ガク</t>
    </rPh>
    <phoneticPr fontId="9"/>
  </si>
  <si>
    <t>(21)</t>
  </si>
  <si>
    <t>１月〜２月</t>
  </si>
  <si>
    <t>（Ｎ）社保</t>
    <rPh sb="3" eb="4">
      <t>シャカイ</t>
    </rPh>
    <rPh sb="4" eb="5">
      <t>ホ</t>
    </rPh>
    <phoneticPr fontId="9"/>
  </si>
  <si>
    <t>年調定率控除</t>
    <rPh sb="0" eb="1">
      <t>ネンチョウ</t>
    </rPh>
    <rPh sb="1" eb="2">
      <t>チョウ</t>
    </rPh>
    <rPh sb="2" eb="6">
      <t>テイリツコウジョ</t>
    </rPh>
    <phoneticPr fontId="9"/>
  </si>
  <si>
    <t>（Ｏ）生命保険</t>
    <rPh sb="3" eb="7">
      <t>セイメイホケンリョウ</t>
    </rPh>
    <phoneticPr fontId="9"/>
  </si>
  <si>
    <t>生年月日</t>
    <rPh sb="0" eb="4">
      <t>セイネンガッピ</t>
    </rPh>
    <phoneticPr fontId="9"/>
  </si>
  <si>
    <t>子供</t>
    <rPh sb="0" eb="2">
      <t>コドモ</t>
    </rPh>
    <phoneticPr fontId="9"/>
  </si>
  <si>
    <t>健康保険</t>
  </si>
  <si>
    <t>課税所得</t>
  </si>
  <si>
    <t>同居外老人</t>
  </si>
  <si>
    <t>厚生年金</t>
    <rPh sb="0" eb="4">
      <t>コウセイネンキン</t>
    </rPh>
    <phoneticPr fontId="9"/>
  </si>
  <si>
    <t>入力行数</t>
    <rPh sb="0" eb="4">
      <t>ニュウリョクスウ</t>
    </rPh>
    <phoneticPr fontId="9"/>
  </si>
  <si>
    <t>障害者控除</t>
  </si>
  <si>
    <t>特別</t>
  </si>
  <si>
    <t>老年者控除</t>
  </si>
  <si>
    <t>（シ）</t>
  </si>
  <si>
    <t>別表第三</t>
  </si>
  <si>
    <t>超過及び不足額</t>
  </si>
  <si>
    <t>賃金額（以上）</t>
  </si>
  <si>
    <t>配偶者</t>
  </si>
  <si>
    <t>技能手当</t>
  </si>
  <si>
    <t>賞与の課税率を前月課税標準より決定する</t>
  </si>
  <si>
    <t>厚年月額</t>
    <rPh sb="0" eb="2">
      <t>コウセイネンキントウキュウ</t>
    </rPh>
    <rPh sb="2" eb="4">
      <t>ゲツガク</t>
    </rPh>
    <phoneticPr fontId="9"/>
  </si>
  <si>
    <t>（チ）</t>
    <phoneticPr fontId="9"/>
  </si>
  <si>
    <t>標準報酬</t>
    <rPh sb="0" eb="4">
      <t>ヒョウジュンホウシュウ</t>
    </rPh>
    <phoneticPr fontId="9"/>
  </si>
  <si>
    <t>3000円</t>
  </si>
  <si>
    <t>社保申告による控除</t>
  </si>
  <si>
    <t>(11)</t>
  </si>
  <si>
    <t>前職の源泉徴収票</t>
    <rPh sb="0" eb="2">
      <t>ゼンショク</t>
    </rPh>
    <rPh sb="3" eb="8">
      <t>ゲンセンチョウシュウヒョウ</t>
    </rPh>
    <phoneticPr fontId="9"/>
  </si>
  <si>
    <t>住所</t>
    <rPh sb="0" eb="2">
      <t>ジュウショ</t>
    </rPh>
    <phoneticPr fontId="9"/>
  </si>
  <si>
    <t>賞与明細</t>
  </si>
  <si>
    <t>金種明細</t>
  </si>
  <si>
    <t>（Ｆ）</t>
  </si>
  <si>
    <t>給与支払報告書</t>
    <rPh sb="0" eb="4">
      <t>キュウヨシハラ</t>
    </rPh>
    <rPh sb="4" eb="7">
      <t>ホウコクショ￥</t>
    </rPh>
    <phoneticPr fontId="9"/>
  </si>
  <si>
    <t>Ｄ×料率</t>
  </si>
  <si>
    <t>支払金額</t>
    <rPh sb="0" eb="4">
      <t>シハライキンガク</t>
    </rPh>
    <phoneticPr fontId="9"/>
  </si>
  <si>
    <t>16歳以上23歳未満</t>
    <rPh sb="2" eb="3">
      <t>サイ</t>
    </rPh>
    <rPh sb="3" eb="5">
      <t>イジョウ</t>
    </rPh>
    <rPh sb="7" eb="10">
      <t>サイミマン</t>
    </rPh>
    <phoneticPr fontId="9"/>
  </si>
  <si>
    <t>Ｃ</t>
    <phoneticPr fontId="9"/>
  </si>
  <si>
    <t>家族手当</t>
  </si>
  <si>
    <t>賞与等支給総額</t>
    <rPh sb="0" eb="7">
      <t>ショウヨトウシキュウソウガク</t>
    </rPh>
    <phoneticPr fontId="9"/>
  </si>
  <si>
    <t>6月・7月改訂</t>
    <rPh sb="4" eb="5">
      <t>ガツ</t>
    </rPh>
    <phoneticPr fontId="9"/>
  </si>
  <si>
    <t>Ｂ×料率</t>
  </si>
  <si>
    <t>（Ｃ）</t>
  </si>
  <si>
    <t>還元額</t>
    <rPh sb="0" eb="3">
      <t>カンゲンガク</t>
    </rPh>
    <phoneticPr fontId="9"/>
  </si>
  <si>
    <t>扶養人数</t>
  </si>
  <si>
    <t>年初に更新</t>
  </si>
  <si>
    <t>定額基礎</t>
  </si>
  <si>
    <t>売上還元</t>
  </si>
  <si>
    <t>千円</t>
    <rPh sb="0" eb="2">
      <t>センエン</t>
    </rPh>
    <phoneticPr fontId="9"/>
  </si>
  <si>
    <t>人</t>
  </si>
  <si>
    <t>金種計算</t>
  </si>
  <si>
    <t>(12)</t>
  </si>
  <si>
    <t>住民税</t>
  </si>
  <si>
    <t>役員手当を差引</t>
    <rPh sb="0" eb="2">
      <t>ヤクイン</t>
    </rPh>
    <rPh sb="2" eb="4">
      <t>テアテ</t>
    </rPh>
    <rPh sb="5" eb="7">
      <t>サシヒキ</t>
    </rPh>
    <phoneticPr fontId="9"/>
  </si>
  <si>
    <t>９月</t>
  </si>
  <si>
    <t>７月</t>
  </si>
  <si>
    <t>職務手当</t>
  </si>
  <si>
    <t>総額</t>
  </si>
  <si>
    <t>所得控除合計</t>
    <rPh sb="0" eb="2">
      <t>ショトクコウジョ</t>
    </rPh>
    <rPh sb="2" eb="4">
      <t>コウジョガク</t>
    </rPh>
    <rPh sb="4" eb="6">
      <t>ゴウケイ</t>
    </rPh>
    <phoneticPr fontId="9"/>
  </si>
  <si>
    <t>扶養控除</t>
  </si>
  <si>
    <t>介護保険</t>
    <rPh sb="0" eb="4">
      <t>カイゴホケン</t>
    </rPh>
    <phoneticPr fontId="9"/>
  </si>
  <si>
    <t>Ａ−Ｄ</t>
  </si>
  <si>
    <t>(14)</t>
  </si>
  <si>
    <t>基礎控除等</t>
  </si>
  <si>
    <t>当座預金</t>
    <rPh sb="0" eb="2">
      <t>トウザ</t>
    </rPh>
    <phoneticPr fontId="9"/>
  </si>
  <si>
    <t>４月</t>
    <rPh sb="1" eb="2">
      <t>ガツ</t>
    </rPh>
    <phoneticPr fontId="9"/>
  </si>
  <si>
    <t>配偶者控除</t>
  </si>
  <si>
    <t>一般</t>
  </si>
  <si>
    <t>老人</t>
  </si>
  <si>
    <t>健康保険料計算</t>
    <rPh sb="0" eb="7">
      <t>ケンコウホケンリョウケイサン</t>
    </rPh>
    <phoneticPr fontId="9"/>
  </si>
  <si>
    <t>年調定率控除額</t>
    <rPh sb="0" eb="7">
      <t>ネンチョウテイリツコウジョガク</t>
    </rPh>
    <phoneticPr fontId="9"/>
  </si>
  <si>
    <t>（ケ）</t>
    <phoneticPr fontId="9"/>
  </si>
  <si>
    <t>（タ）</t>
    <phoneticPr fontId="9"/>
  </si>
  <si>
    <t>住民税の改訂</t>
    <rPh sb="0" eb="3">
      <t>ジュウミンゼイ</t>
    </rPh>
    <rPh sb="4" eb="6">
      <t>カイテイ</t>
    </rPh>
    <phoneticPr fontId="9"/>
  </si>
  <si>
    <t>折半</t>
    <rPh sb="0" eb="2">
      <t>セッパン</t>
    </rPh>
    <phoneticPr fontId="9"/>
  </si>
  <si>
    <t>税額の算式</t>
  </si>
  <si>
    <t>住民税の改訂、社保随時改訂</t>
    <rPh sb="0" eb="3">
      <t>ジュウミンゼイ</t>
    </rPh>
    <rPh sb="4" eb="6">
      <t>カイテイ</t>
    </rPh>
    <rPh sb="7" eb="8">
      <t>シャ</t>
    </rPh>
    <rPh sb="8" eb="9">
      <t>ホ</t>
    </rPh>
    <rPh sb="9" eb="11">
      <t>ズイジ</t>
    </rPh>
    <rPh sb="11" eb="13">
      <t>カイテイ</t>
    </rPh>
    <phoneticPr fontId="9"/>
  </si>
  <si>
    <t>健保一般</t>
    <rPh sb="0" eb="2">
      <t>ケンポ</t>
    </rPh>
    <rPh sb="2" eb="4">
      <t>イッパン</t>
    </rPh>
    <phoneticPr fontId="9"/>
  </si>
  <si>
    <t>健保介護</t>
    <rPh sb="0" eb="2">
      <t>ケンポ</t>
    </rPh>
    <rPh sb="2" eb="4">
      <t>カイゴ</t>
    </rPh>
    <phoneticPr fontId="9"/>
  </si>
  <si>
    <t>厚生年金</t>
    <rPh sb="0" eb="2">
      <t>コウセイ</t>
    </rPh>
    <rPh sb="2" eb="4">
      <t>ネンキン</t>
    </rPh>
    <phoneticPr fontId="9"/>
  </si>
  <si>
    <t>改訂</t>
    <rPh sb="0" eb="2">
      <t>カイテイ</t>
    </rPh>
    <phoneticPr fontId="9"/>
  </si>
  <si>
    <t>9月改訂</t>
    <rPh sb="1" eb="4">
      <t>ガツカイテイ</t>
    </rPh>
    <phoneticPr fontId="9"/>
  </si>
  <si>
    <t>9月改訂/40歳</t>
    <rPh sb="7" eb="8">
      <t>サイ</t>
    </rPh>
    <phoneticPr fontId="9"/>
  </si>
  <si>
    <t>9月改訂</t>
    <phoneticPr fontId="9"/>
  </si>
  <si>
    <t>今月の注意事項</t>
    <rPh sb="0" eb="2">
      <t>コンゲツ</t>
    </rPh>
    <rPh sb="3" eb="5">
      <t>チュウイ</t>
    </rPh>
    <rPh sb="5" eb="7">
      <t>ジコウ</t>
    </rPh>
    <phoneticPr fontId="9"/>
  </si>
  <si>
    <t>定額修正</t>
    <rPh sb="0" eb="2">
      <t>テイガク</t>
    </rPh>
    <rPh sb="2" eb="4">
      <t>シュウセイ</t>
    </rPh>
    <phoneticPr fontId="9"/>
  </si>
  <si>
    <t>地震保険料</t>
    <rPh sb="0" eb="2">
      <t>ジシン</t>
    </rPh>
    <rPh sb="2" eb="5">
      <t>ホケンリョウ</t>
    </rPh>
    <phoneticPr fontId="9"/>
  </si>
  <si>
    <t>年末調整</t>
    <rPh sb="0" eb="2">
      <t>ネンマツ</t>
    </rPh>
    <rPh sb="2" eb="4">
      <t>チョウセイ</t>
    </rPh>
    <phoneticPr fontId="9"/>
  </si>
  <si>
    <t>才未満</t>
    <rPh sb="0" eb="1">
      <t>サイ</t>
    </rPh>
    <rPh sb="1" eb="3">
      <t>ミマン</t>
    </rPh>
    <phoneticPr fontId="9"/>
  </si>
  <si>
    <t>給与見直</t>
    <rPh sb="0" eb="2">
      <t>キュウヨ</t>
    </rPh>
    <rPh sb="2" eb="4">
      <t>ミナオ</t>
    </rPh>
    <phoneticPr fontId="9"/>
  </si>
  <si>
    <t>その他</t>
    <rPh sb="2" eb="3">
      <t>タ</t>
    </rPh>
    <phoneticPr fontId="9"/>
  </si>
  <si>
    <t>入社日</t>
    <rPh sb="0" eb="3">
      <t>ニュウシャビ</t>
    </rPh>
    <phoneticPr fontId="9"/>
  </si>
  <si>
    <t>賞与</t>
    <rPh sb="0" eb="2">
      <t>ショウヨ</t>
    </rPh>
    <phoneticPr fontId="9"/>
  </si>
  <si>
    <t>各台帳より</t>
    <rPh sb="0" eb="1">
      <t>カク</t>
    </rPh>
    <rPh sb="1" eb="3">
      <t>ダイチョウ</t>
    </rPh>
    <phoneticPr fontId="9"/>
  </si>
  <si>
    <t>退職日</t>
    <rPh sb="0" eb="3">
      <t>タイショクビ</t>
    </rPh>
    <phoneticPr fontId="9"/>
  </si>
  <si>
    <t>列番号</t>
    <rPh sb="0" eb="3">
      <t>レツバンゴウ</t>
    </rPh>
    <phoneticPr fontId="9"/>
  </si>
  <si>
    <t>111-1111</t>
  </si>
  <si>
    <t>東京都</t>
    <rPh sb="0" eb="3">
      <t>トウキョウト</t>
    </rPh>
    <phoneticPr fontId="9"/>
  </si>
  <si>
    <t>03-0999-9999</t>
    <phoneticPr fontId="9"/>
  </si>
  <si>
    <t>シート番号</t>
    <rPh sb="3" eb="5">
      <t>バンゴウ</t>
    </rPh>
    <phoneticPr fontId="9"/>
  </si>
  <si>
    <t>処理列数</t>
    <rPh sb="0" eb="2">
      <t>ショリ</t>
    </rPh>
    <rPh sb="2" eb="4">
      <t>レツスウ</t>
    </rPh>
    <phoneticPr fontId="9"/>
  </si>
  <si>
    <t>給与計算</t>
    <rPh sb="0" eb="4">
      <t>キュウヨケイサン</t>
    </rPh>
    <phoneticPr fontId="59"/>
  </si>
  <si>
    <t>給与計算ワークシート説明書</t>
    <rPh sb="0" eb="4">
      <t>キュウヨケイサン</t>
    </rPh>
    <rPh sb="10" eb="13">
      <t>セツメイショ</t>
    </rPh>
    <phoneticPr fontId="59"/>
  </si>
  <si>
    <t>①</t>
    <phoneticPr fontId="59"/>
  </si>
  <si>
    <t>①-1</t>
    <phoneticPr fontId="59"/>
  </si>
  <si>
    <t>①-2</t>
    <phoneticPr fontId="59"/>
  </si>
  <si>
    <t>印刷用の設定</t>
    <rPh sb="0" eb="2">
      <t>インサツ</t>
    </rPh>
    <rPh sb="2" eb="3">
      <t>ヨウ</t>
    </rPh>
    <rPh sb="4" eb="6">
      <t>セッテイ</t>
    </rPh>
    <phoneticPr fontId="59"/>
  </si>
  <si>
    <t>②</t>
    <phoneticPr fontId="59"/>
  </si>
  <si>
    <t>各計算表の設定</t>
    <rPh sb="0" eb="1">
      <t>カク</t>
    </rPh>
    <rPh sb="1" eb="4">
      <t>ケイサンヒョウ</t>
    </rPh>
    <rPh sb="5" eb="7">
      <t>セッテイ</t>
    </rPh>
    <phoneticPr fontId="59"/>
  </si>
  <si>
    <t>②-1</t>
    <phoneticPr fontId="59"/>
  </si>
  <si>
    <t>保険料額表の雇用保険、社会保険、健康保険の料率を設定します。</t>
    <rPh sb="0" eb="3">
      <t>ホケンリョウ</t>
    </rPh>
    <rPh sb="3" eb="5">
      <t>ガクヒョウ</t>
    </rPh>
    <rPh sb="6" eb="10">
      <t>コヨウホケン</t>
    </rPh>
    <rPh sb="11" eb="15">
      <t>シャカイホケン</t>
    </rPh>
    <rPh sb="16" eb="20">
      <t>ケンコウホケン</t>
    </rPh>
    <rPh sb="21" eb="23">
      <t>リョウリツ</t>
    </rPh>
    <rPh sb="24" eb="26">
      <t>セッテイ</t>
    </rPh>
    <phoneticPr fontId="59"/>
  </si>
  <si>
    <t>更新日</t>
    <rPh sb="0" eb="3">
      <t>コウシンビ</t>
    </rPh>
    <phoneticPr fontId="9"/>
  </si>
  <si>
    <t>賞与算出表、年末調整計算のシートを設定します。（税務署発行の、源泉徴収のしおりから）</t>
    <rPh sb="0" eb="2">
      <t>ショウヨ</t>
    </rPh>
    <rPh sb="2" eb="5">
      <t>サンシュツヒョウ</t>
    </rPh>
    <rPh sb="6" eb="12">
      <t>ネンマツチョウセイケイサン</t>
    </rPh>
    <rPh sb="17" eb="19">
      <t>セッテイ</t>
    </rPh>
    <phoneticPr fontId="59"/>
  </si>
  <si>
    <t>この辺りの設定は税法の変更に合わせて対応が必要です。</t>
    <rPh sb="2" eb="3">
      <t>アタ</t>
    </rPh>
    <rPh sb="5" eb="7">
      <t>セッテイ</t>
    </rPh>
    <rPh sb="8" eb="10">
      <t>ゼイホウ</t>
    </rPh>
    <rPh sb="11" eb="13">
      <t>ヘンコウ</t>
    </rPh>
    <rPh sb="14" eb="15">
      <t>ア</t>
    </rPh>
    <rPh sb="18" eb="20">
      <t>タイオウ</t>
    </rPh>
    <rPh sb="21" eb="23">
      <t>ヒツヨウ</t>
    </rPh>
    <phoneticPr fontId="59"/>
  </si>
  <si>
    <t>②-2</t>
    <phoneticPr fontId="59"/>
  </si>
  <si>
    <t>②-3</t>
    <phoneticPr fontId="59"/>
  </si>
  <si>
    <t>給与計算シートには、月単位の給与計算に必要な計算表（別表第一、別表第二、別表第三などの青い表）が入っています。</t>
    <rPh sb="0" eb="2">
      <t>キュウヨ</t>
    </rPh>
    <rPh sb="2" eb="4">
      <t>ケイサン</t>
    </rPh>
    <rPh sb="10" eb="13">
      <t>ツキタンイ</t>
    </rPh>
    <rPh sb="14" eb="18">
      <t>キュウヨケイサン</t>
    </rPh>
    <rPh sb="19" eb="21">
      <t>ヒツヨウ</t>
    </rPh>
    <rPh sb="22" eb="25">
      <t>ケイサンヒョウ</t>
    </rPh>
    <rPh sb="26" eb="28">
      <t>ベッピョウ</t>
    </rPh>
    <rPh sb="28" eb="29">
      <t>ダイ</t>
    </rPh>
    <rPh sb="29" eb="30">
      <t>1</t>
    </rPh>
    <rPh sb="31" eb="33">
      <t>ベッピョウ</t>
    </rPh>
    <rPh sb="33" eb="34">
      <t>ダイ</t>
    </rPh>
    <rPh sb="34" eb="35">
      <t>2</t>
    </rPh>
    <rPh sb="36" eb="38">
      <t>ベッピョウ</t>
    </rPh>
    <rPh sb="38" eb="39">
      <t>ダイ</t>
    </rPh>
    <rPh sb="39" eb="40">
      <t>3</t>
    </rPh>
    <rPh sb="43" eb="44">
      <t>アオ</t>
    </rPh>
    <rPh sb="45" eb="46">
      <t>ヒョウ</t>
    </rPh>
    <rPh sb="48" eb="49">
      <t>ハイ</t>
    </rPh>
    <phoneticPr fontId="59"/>
  </si>
  <si>
    <t>②-4</t>
    <phoneticPr fontId="59"/>
  </si>
  <si>
    <t>③</t>
    <phoneticPr fontId="59"/>
  </si>
  <si>
    <t>④</t>
    <phoneticPr fontId="59"/>
  </si>
  <si>
    <t>給与</t>
    <phoneticPr fontId="9"/>
  </si>
  <si>
    <t>立替金</t>
    <rPh sb="0" eb="3">
      <t>タテカエキン</t>
    </rPh>
    <phoneticPr fontId="9"/>
  </si>
  <si>
    <t>項目名</t>
    <rPh sb="0" eb="2">
      <t>コウモク</t>
    </rPh>
    <rPh sb="2" eb="3">
      <t>メイ</t>
    </rPh>
    <phoneticPr fontId="9"/>
  </si>
  <si>
    <t>金額</t>
    <rPh sb="0" eb="2">
      <t>キンガク</t>
    </rPh>
    <phoneticPr fontId="9"/>
  </si>
  <si>
    <t>勘定科目</t>
    <rPh sb="0" eb="4">
      <t>カンジョウカモク</t>
    </rPh>
    <phoneticPr fontId="9"/>
  </si>
  <si>
    <t>③-1</t>
    <phoneticPr fontId="59"/>
  </si>
  <si>
    <t>③-2</t>
    <phoneticPr fontId="59"/>
  </si>
  <si>
    <t>③-3</t>
    <phoneticPr fontId="59"/>
  </si>
  <si>
    <t>③-4</t>
    <phoneticPr fontId="59"/>
  </si>
  <si>
    <t>④-1</t>
    <phoneticPr fontId="59"/>
  </si>
  <si>
    <t>各人の基本給など金額を入力します。</t>
    <rPh sb="0" eb="2">
      <t>カクジン</t>
    </rPh>
    <rPh sb="3" eb="6">
      <t>キホンキュウ</t>
    </rPh>
    <rPh sb="8" eb="10">
      <t>キンガク</t>
    </rPh>
    <rPh sb="11" eb="13">
      <t>ニュウリョク</t>
    </rPh>
    <phoneticPr fontId="59"/>
  </si>
  <si>
    <t>④-2</t>
    <phoneticPr fontId="59"/>
  </si>
  <si>
    <t>④-3</t>
    <phoneticPr fontId="59"/>
  </si>
  <si>
    <t>給与計算ができたら、転記ボタンを押して、各人の給与台帳へデータを複写します。台帳合計表も複写されます。</t>
    <rPh sb="0" eb="4">
      <t>キュウヨケイサン</t>
    </rPh>
    <rPh sb="10" eb="12">
      <t>テンキ</t>
    </rPh>
    <rPh sb="16" eb="17">
      <t>オ</t>
    </rPh>
    <rPh sb="20" eb="21">
      <t>カク</t>
    </rPh>
    <rPh sb="21" eb="22">
      <t>ジン</t>
    </rPh>
    <rPh sb="23" eb="27">
      <t>キュウヨダイチョウ</t>
    </rPh>
    <rPh sb="32" eb="34">
      <t>フクシャ</t>
    </rPh>
    <rPh sb="38" eb="40">
      <t>ダイチョウ</t>
    </rPh>
    <rPh sb="40" eb="44">
      <t>ゴウケイヒョウm</t>
    </rPh>
    <rPh sb="44" eb="46">
      <t>フクシャ</t>
    </rPh>
    <phoneticPr fontId="59"/>
  </si>
  <si>
    <t>④-4</t>
    <phoneticPr fontId="59"/>
  </si>
  <si>
    <t>給与計算（一覧表）、給与明細、賞与計算（一覧表）、賞与明細のシートをプリンタに合わせて印刷テストしておきます。</t>
    <rPh sb="0" eb="4">
      <t>キュウヨケイサン</t>
    </rPh>
    <rPh sb="5" eb="8">
      <t>イチランヒョウ</t>
    </rPh>
    <rPh sb="10" eb="12">
      <t>キュウヨ</t>
    </rPh>
    <rPh sb="12" eb="14">
      <t>メイサイ</t>
    </rPh>
    <rPh sb="15" eb="19">
      <t>ショウヨケイサン</t>
    </rPh>
    <rPh sb="20" eb="23">
      <t>イチランヒョウ</t>
    </rPh>
    <rPh sb="25" eb="27">
      <t>ショウヨ</t>
    </rPh>
    <rPh sb="27" eb="29">
      <t>メイサイ</t>
    </rPh>
    <rPh sb="39" eb="40">
      <t>ア</t>
    </rPh>
    <rPh sb="43" eb="45">
      <t>インサツ</t>
    </rPh>
    <phoneticPr fontId="59"/>
  </si>
  <si>
    <t>印刷は、一覧表と明細書を個別に印刷できます。</t>
    <rPh sb="0" eb="2">
      <t>インサツ</t>
    </rPh>
    <rPh sb="4" eb="7">
      <t>イチランヒョウ</t>
    </rPh>
    <rPh sb="8" eb="11">
      <t>メイサイショ</t>
    </rPh>
    <rPh sb="12" eb="14">
      <t>コベツ</t>
    </rPh>
    <rPh sb="15" eb="17">
      <t>インサツ</t>
    </rPh>
    <phoneticPr fontId="59"/>
  </si>
  <si>
    <t>従業者の個人情報を入力します。20人分入力できますが、給与計算できるのは10人分です。</t>
    <rPh sb="0" eb="3">
      <t>ジュウギョウシャ</t>
    </rPh>
    <rPh sb="4" eb="8">
      <t>コジンジョウホウ</t>
    </rPh>
    <rPh sb="9" eb="11">
      <t>ニュウリョク</t>
    </rPh>
    <rPh sb="17" eb="18">
      <t>ニン</t>
    </rPh>
    <rPh sb="18" eb="19">
      <t>ブン</t>
    </rPh>
    <rPh sb="19" eb="21">
      <t>ニュウリョク</t>
    </rPh>
    <rPh sb="27" eb="31">
      <t>キュウヨケイサン</t>
    </rPh>
    <rPh sb="38" eb="39">
      <t>ニン</t>
    </rPh>
    <rPh sb="39" eb="40">
      <t>ブン</t>
    </rPh>
    <phoneticPr fontId="59"/>
  </si>
  <si>
    <t>⑤</t>
    <phoneticPr fontId="59"/>
  </si>
  <si>
    <t>賞与計算</t>
    <rPh sb="0" eb="4">
      <t>ショウヨケイサン</t>
    </rPh>
    <phoneticPr fontId="59"/>
  </si>
  <si>
    <t>⑤-1</t>
    <phoneticPr fontId="59"/>
  </si>
  <si>
    <t>定額基礎には、給与の基本給が自動的に入っています。定額修正を入力するとそちらの金額が優先されます。</t>
    <rPh sb="0" eb="4">
      <t>テイガクキソ</t>
    </rPh>
    <rPh sb="7" eb="9">
      <t>キュウヨ</t>
    </rPh>
    <rPh sb="10" eb="13">
      <t>キホンキュウ</t>
    </rPh>
    <rPh sb="14" eb="17">
      <t>ジドウテキ</t>
    </rPh>
    <rPh sb="18" eb="19">
      <t>ハイ</t>
    </rPh>
    <rPh sb="25" eb="29">
      <t>テイガクシュウセイ</t>
    </rPh>
    <rPh sb="30" eb="32">
      <t>ニュウリョク</t>
    </rPh>
    <rPh sb="39" eb="41">
      <t>キンガク</t>
    </rPh>
    <rPh sb="42" eb="44">
      <t>ユウセン</t>
    </rPh>
    <phoneticPr fontId="59"/>
  </si>
  <si>
    <t>⑥</t>
    <phoneticPr fontId="59"/>
  </si>
  <si>
    <t>振替伝票</t>
    <rPh sb="0" eb="4">
      <t>フリカエデンピョウ</t>
    </rPh>
    <phoneticPr fontId="59"/>
  </si>
  <si>
    <t>⑥-1</t>
    <phoneticPr fontId="59"/>
  </si>
  <si>
    <t>振替伝票シートでは、給与計算と賞与計算から振替伝票用のデータをまとめて表示しています。</t>
    <rPh sb="0" eb="4">
      <t>フリカエデンピョウ</t>
    </rPh>
    <rPh sb="10" eb="12">
      <t>キュウヨ</t>
    </rPh>
    <rPh sb="12" eb="14">
      <t>ケイサン</t>
    </rPh>
    <rPh sb="15" eb="17">
      <t>ショウヨ</t>
    </rPh>
    <rPh sb="17" eb="19">
      <t>ケイサン</t>
    </rPh>
    <rPh sb="21" eb="26">
      <t>フリカエデンピョウヨウ</t>
    </rPh>
    <rPh sb="35" eb="37">
      <t>ヒョウジ</t>
    </rPh>
    <phoneticPr fontId="59"/>
  </si>
  <si>
    <t>作成時には、税務署から送られてくる源泉徴収のしおりにある電子計算の算式や表を参照しています。</t>
    <rPh sb="0" eb="3">
      <t>サクセイジ</t>
    </rPh>
    <rPh sb="6" eb="9">
      <t>ゼイムショ</t>
    </rPh>
    <rPh sb="11" eb="12">
      <t>オク</t>
    </rPh>
    <rPh sb="17" eb="21">
      <t>ゲンセンチョウシュウ</t>
    </rPh>
    <rPh sb="28" eb="32">
      <t>デンシケイサン</t>
    </rPh>
    <rPh sb="33" eb="35">
      <t>サンシキ</t>
    </rPh>
    <rPh sb="36" eb="37">
      <t>ヒョウ</t>
    </rPh>
    <rPh sb="38" eb="40">
      <t>サンショウ</t>
    </rPh>
    <phoneticPr fontId="59"/>
  </si>
  <si>
    <t>新年度</t>
    <rPh sb="0" eb="3">
      <t>シンネンド</t>
    </rPh>
    <phoneticPr fontId="59"/>
  </si>
  <si>
    <t>年度毎にワークシートを複製して利用することをお薦めします。</t>
    <rPh sb="0" eb="3">
      <t>ネンドゴト</t>
    </rPh>
    <rPh sb="11" eb="13">
      <t>フクセイ</t>
    </rPh>
    <rPh sb="15" eb="17">
      <t>リヨウ</t>
    </rPh>
    <rPh sb="23" eb="24">
      <t>スス</t>
    </rPh>
    <phoneticPr fontId="59"/>
  </si>
  <si>
    <t>⑦</t>
    <phoneticPr fontId="59"/>
  </si>
  <si>
    <t>給与台帳</t>
    <rPh sb="0" eb="4">
      <t>キュウヨダイチョウ</t>
    </rPh>
    <phoneticPr fontId="59"/>
  </si>
  <si>
    <t>⑦-1</t>
    <phoneticPr fontId="59"/>
  </si>
  <si>
    <t>給与台帳では、源泉徴収票作成に必要な計算も行います。</t>
    <rPh sb="0" eb="4">
      <t>キュウヨダイチョウ</t>
    </rPh>
    <rPh sb="7" eb="11">
      <t>ゲンセンチョウシュウ</t>
    </rPh>
    <rPh sb="11" eb="12">
      <t>ヒョウ</t>
    </rPh>
    <rPh sb="12" eb="14">
      <t>サクセイ</t>
    </rPh>
    <rPh sb="15" eb="17">
      <t>ヒツヨウ</t>
    </rPh>
    <rPh sb="18" eb="20">
      <t>ケイサン</t>
    </rPh>
    <rPh sb="21" eb="22">
      <t>オコナ</t>
    </rPh>
    <phoneticPr fontId="59"/>
  </si>
  <si>
    <t>⑦-2</t>
    <phoneticPr fontId="59"/>
  </si>
  <si>
    <t>社会保険料の算定基礎届け用のデータもまとめています。</t>
    <rPh sb="0" eb="5">
      <t>シャカイホケンリョウ</t>
    </rPh>
    <rPh sb="6" eb="11">
      <t>サンテイキソトド</t>
    </rPh>
    <rPh sb="12" eb="13">
      <t>ヨウ</t>
    </rPh>
    <phoneticPr fontId="59"/>
  </si>
  <si>
    <t>⑧</t>
    <phoneticPr fontId="59"/>
  </si>
  <si>
    <t>⑧-1</t>
    <phoneticPr fontId="59"/>
  </si>
  <si>
    <t>⑧-2</t>
    <phoneticPr fontId="59"/>
  </si>
  <si>
    <t>⑧-3</t>
    <phoneticPr fontId="59"/>
  </si>
  <si>
    <t>⑦-3</t>
    <phoneticPr fontId="59"/>
  </si>
  <si>
    <t>テストデータ</t>
    <phoneticPr fontId="9"/>
  </si>
  <si>
    <t>⑧-4</t>
    <phoneticPr fontId="59"/>
  </si>
  <si>
    <t>従業者名簿</t>
    <rPh sb="0" eb="2">
      <t>ジュウギョウイン</t>
    </rPh>
    <rPh sb="2" eb="3">
      <t>シャ</t>
    </rPh>
    <rPh sb="3" eb="5">
      <t>メイボ</t>
    </rPh>
    <phoneticPr fontId="9"/>
  </si>
  <si>
    <t>従業者番号</t>
    <rPh sb="0" eb="5">
      <t>ジュウギョウインバンゴウ</t>
    </rPh>
    <phoneticPr fontId="9"/>
  </si>
  <si>
    <t>従業者名簿</t>
    <rPh sb="0" eb="3">
      <t>ジュウギョウシャ</t>
    </rPh>
    <rPh sb="3" eb="5">
      <t>メイボ</t>
    </rPh>
    <phoneticPr fontId="59"/>
  </si>
  <si>
    <t>従業者名簿の年度を変更し、個人データの変更箇所を確認します。</t>
    <rPh sb="0" eb="3">
      <t>ジュウギョウシャ</t>
    </rPh>
    <rPh sb="3" eb="5">
      <t>メイボ</t>
    </rPh>
    <rPh sb="6" eb="8">
      <t>ネンド</t>
    </rPh>
    <rPh sb="9" eb="11">
      <t>ヘンコウ</t>
    </rPh>
    <rPh sb="13" eb="15">
      <t>コジン</t>
    </rPh>
    <rPh sb="19" eb="21">
      <t>ヘンコウ</t>
    </rPh>
    <rPh sb="21" eb="23">
      <t>カショ</t>
    </rPh>
    <rPh sb="24" eb="26">
      <t>カクニン</t>
    </rPh>
    <phoneticPr fontId="59"/>
  </si>
  <si>
    <t>平成27年度保険料額表</t>
  </si>
  <si>
    <t>H27.4</t>
    <phoneticPr fontId="9"/>
  </si>
  <si>
    <t>H26.9</t>
    <phoneticPr fontId="9"/>
  </si>
  <si>
    <t>健保・厚年</t>
    <rPh sb="0" eb="2">
      <t>ケンポ</t>
    </rPh>
    <rPh sb="3" eb="5">
      <t>コウネン</t>
    </rPh>
    <phoneticPr fontId="9"/>
  </si>
  <si>
    <t>雇保</t>
    <rPh sb="0" eb="1">
      <t>ヤトイ</t>
    </rPh>
    <rPh sb="1" eb="2">
      <t>タモツ</t>
    </rPh>
    <phoneticPr fontId="9"/>
  </si>
  <si>
    <t>平成27年度雇用保険料率表</t>
    <rPh sb="0" eb="2">
      <t>ヘイセイ</t>
    </rPh>
    <rPh sb="4" eb="6">
      <t>ネンド</t>
    </rPh>
    <rPh sb="6" eb="8">
      <t>コヨウ</t>
    </rPh>
    <rPh sb="8" eb="10">
      <t>ホケン</t>
    </rPh>
    <rPh sb="10" eb="12">
      <t>リョウリツ</t>
    </rPh>
    <rPh sb="12" eb="13">
      <t>ヒョウ</t>
    </rPh>
    <phoneticPr fontId="9"/>
  </si>
  <si>
    <t>企業名：</t>
    <rPh sb="0" eb="3">
      <t>キギョウメイ</t>
    </rPh>
    <phoneticPr fontId="9"/>
  </si>
  <si>
    <t>株式会社○○△△</t>
    <rPh sb="0" eb="4">
      <t>カブシキガイシャ</t>
    </rPh>
    <phoneticPr fontId="9"/>
  </si>
  <si>
    <t>222-2222</t>
    <phoneticPr fontId="9"/>
  </si>
  <si>
    <t>埼玉県</t>
    <rPh sb="0" eb="3">
      <t>サイタマケン</t>
    </rPh>
    <phoneticPr fontId="9"/>
  </si>
  <si>
    <t>333-3333</t>
    <phoneticPr fontId="9"/>
  </si>
  <si>
    <t>9999-2222</t>
    <phoneticPr fontId="9"/>
  </si>
  <si>
    <t>9999-3333</t>
    <phoneticPr fontId="9"/>
  </si>
  <si>
    <t>9999-1111</t>
    <phoneticPr fontId="9"/>
  </si>
  <si>
    <t>区分</t>
    <rPh sb="0" eb="2">
      <t>クブン</t>
    </rPh>
    <phoneticPr fontId="9"/>
  </si>
  <si>
    <t>年齢</t>
    <rPh sb="0" eb="2">
      <t>ネンレイ</t>
    </rPh>
    <phoneticPr fontId="9"/>
  </si>
  <si>
    <t>※固定給の変動があった場合、3ヶ月後に平均して２等級変動したときは申請を行う。</t>
    <rPh sb="1" eb="4">
      <t>コテイキュウ</t>
    </rPh>
    <rPh sb="5" eb="7">
      <t>ヘンドウ</t>
    </rPh>
    <rPh sb="11" eb="13">
      <t>バアイデ</t>
    </rPh>
    <rPh sb="16" eb="17">
      <t>ゲツ</t>
    </rPh>
    <rPh sb="24" eb="26">
      <t>トウキュウ</t>
    </rPh>
    <rPh sb="26" eb="28">
      <t>ヘンドウ</t>
    </rPh>
    <rPh sb="33" eb="35">
      <t>シンセイ</t>
    </rPh>
    <rPh sb="36" eb="37">
      <t>オコナ</t>
    </rPh>
    <phoneticPr fontId="9"/>
  </si>
  <si>
    <t>2015.1改訂</t>
    <rPh sb="6" eb="8">
      <t>カイテイ</t>
    </rPh>
    <phoneticPr fontId="9"/>
  </si>
  <si>
    <t>列項目数</t>
    <rPh sb="0" eb="1">
      <t>レツ</t>
    </rPh>
    <rPh sb="1" eb="4">
      <t>コウモクスウ</t>
    </rPh>
    <phoneticPr fontId="9"/>
  </si>
  <si>
    <t>(氏名)</t>
    <phoneticPr fontId="9"/>
  </si>
  <si>
    <t>(電話番号)</t>
    <phoneticPr fontId="9"/>
  </si>
  <si>
    <t>(雇用保険番号)</t>
    <phoneticPr fontId="9"/>
  </si>
  <si>
    <t>(介護保険)</t>
    <phoneticPr fontId="9"/>
  </si>
  <si>
    <t>(基礎年金番号)</t>
    <phoneticPr fontId="9"/>
  </si>
  <si>
    <t>(従業員番号)</t>
    <phoneticPr fontId="9"/>
  </si>
  <si>
    <t>(住所１)</t>
    <phoneticPr fontId="9"/>
  </si>
  <si>
    <t>(住所２)</t>
    <phoneticPr fontId="9"/>
  </si>
  <si>
    <t>(郵便番号)</t>
    <phoneticPr fontId="9"/>
  </si>
  <si>
    <t>(振込先)</t>
    <phoneticPr fontId="9"/>
  </si>
  <si>
    <t>１月</t>
    <phoneticPr fontId="9"/>
  </si>
  <si>
    <t>夏期賞与</t>
    <phoneticPr fontId="9"/>
  </si>
  <si>
    <t>区分…役員など雇用保険料を計算しない人は１、従業員は２です。退職者など計算を必要としない人は０と入力します。</t>
    <rPh sb="0" eb="2">
      <t>クブン</t>
    </rPh>
    <rPh sb="3" eb="5">
      <t>ヤクイン</t>
    </rPh>
    <rPh sb="7" eb="9">
      <t>コヨウ</t>
    </rPh>
    <rPh sb="9" eb="12">
      <t>ホケンリョウ</t>
    </rPh>
    <rPh sb="13" eb="15">
      <t>ケイサン</t>
    </rPh>
    <rPh sb="18" eb="19">
      <t>ヒト</t>
    </rPh>
    <rPh sb="22" eb="25">
      <t>ジュウギョウイン</t>
    </rPh>
    <rPh sb="30" eb="32">
      <t>タイショク</t>
    </rPh>
    <rPh sb="32" eb="33">
      <t>シャ</t>
    </rPh>
    <rPh sb="35" eb="37">
      <t>ケイサン</t>
    </rPh>
    <rPh sb="38" eb="40">
      <t>ヒツヨウ</t>
    </rPh>
    <rPh sb="44" eb="45">
      <t>ヒト</t>
    </rPh>
    <rPh sb="48" eb="50">
      <t>ニュウリョク</t>
    </rPh>
    <phoneticPr fontId="59"/>
  </si>
  <si>
    <t>従業者番号…任意の番号を付けられます。源泉徴収票にも同じ番号を記載します。</t>
    <rPh sb="0" eb="3">
      <t>ジュウギョウシャ</t>
    </rPh>
    <rPh sb="3" eb="5">
      <t>バンゴウ</t>
    </rPh>
    <rPh sb="6" eb="8">
      <t>ニンイ</t>
    </rPh>
    <rPh sb="9" eb="11">
      <t>バンゴウ</t>
    </rPh>
    <rPh sb="12" eb="13">
      <t>ツ</t>
    </rPh>
    <rPh sb="19" eb="24">
      <t>ゲンセンチョウシュウヒョウ</t>
    </rPh>
    <rPh sb="26" eb="27">
      <t>オナ</t>
    </rPh>
    <rPh sb="28" eb="30">
      <t>バンゴウ</t>
    </rPh>
    <rPh sb="31" eb="33">
      <t>キサイ</t>
    </rPh>
    <phoneticPr fontId="59"/>
  </si>
  <si>
    <t>注意</t>
    <rPh sb="0" eb="2">
      <t>チュウイ</t>
    </rPh>
    <phoneticPr fontId="59"/>
  </si>
  <si>
    <t>必ずマクロ機能をオンにして使ってください。</t>
    <rPh sb="0" eb="1">
      <t>カナラ</t>
    </rPh>
    <rPh sb="5" eb="7">
      <t>キノウ</t>
    </rPh>
    <rPh sb="13" eb="14">
      <t>ツカ</t>
    </rPh>
    <phoneticPr fontId="59"/>
  </si>
  <si>
    <t>⑧-5</t>
    <phoneticPr fontId="59"/>
  </si>
  <si>
    <t>従業者名簿の更新事項を各人の台帳に反映させるため、「台帳作成」を実行します。</t>
    <rPh sb="0" eb="3">
      <t>ジュウギョウシャ</t>
    </rPh>
    <rPh sb="3" eb="5">
      <t>メイボ</t>
    </rPh>
    <rPh sb="6" eb="8">
      <t>コウシン</t>
    </rPh>
    <rPh sb="8" eb="10">
      <t>ジコウ</t>
    </rPh>
    <rPh sb="11" eb="13">
      <t>カクジン</t>
    </rPh>
    <rPh sb="14" eb="16">
      <t>ダイチョウ</t>
    </rPh>
    <rPh sb="17" eb="19">
      <t>ハンエイ</t>
    </rPh>
    <rPh sb="26" eb="28">
      <t>ダイチョウ</t>
    </rPh>
    <rPh sb="28" eb="30">
      <t>サクセイ</t>
    </rPh>
    <rPh sb="32" eb="34">
      <t>ジッコウ</t>
    </rPh>
    <phoneticPr fontId="59"/>
  </si>
  <si>
    <t>「台帳初期化」を実行して、各人の台帳、台帳合計表の給与と賞与の金額を削除します。</t>
    <rPh sb="1" eb="3">
      <t>ダイチョウ</t>
    </rPh>
    <rPh sb="3" eb="6">
      <t>ショキカ</t>
    </rPh>
    <rPh sb="8" eb="10">
      <t>ジッコウ</t>
    </rPh>
    <rPh sb="13" eb="15">
      <t>カクジン</t>
    </rPh>
    <rPh sb="16" eb="18">
      <t>ダイチョウ</t>
    </rPh>
    <rPh sb="19" eb="24">
      <t>ダイチョウゴウケイヒョウ</t>
    </rPh>
    <rPh sb="25" eb="27">
      <t>キュウヨ</t>
    </rPh>
    <rPh sb="28" eb="30">
      <t>ショウヨ</t>
    </rPh>
    <rPh sb="31" eb="33">
      <t>キンガク</t>
    </rPh>
    <rPh sb="34" eb="36">
      <t>サクジョ</t>
    </rPh>
    <phoneticPr fontId="59"/>
  </si>
  <si>
    <t>前年度の退職者の台帳を手動で削除します。退職者のシートのタブの上で右クリックして削除を選択します。</t>
    <rPh sb="0" eb="3">
      <t>ゼンネンド</t>
    </rPh>
    <rPh sb="4" eb="7">
      <t>タイショクシャ</t>
    </rPh>
    <rPh sb="8" eb="10">
      <t>ダイチョウ</t>
    </rPh>
    <rPh sb="11" eb="13">
      <t>シュドウ</t>
    </rPh>
    <rPh sb="14" eb="16">
      <t>サクジョ</t>
    </rPh>
    <rPh sb="20" eb="23">
      <t>タイショクシャ</t>
    </rPh>
    <rPh sb="31" eb="32">
      <t>ウエ</t>
    </rPh>
    <rPh sb="33" eb="34">
      <t>ミギ</t>
    </rPh>
    <rPh sb="40" eb="42">
      <t>サクジョ</t>
    </rPh>
    <rPh sb="43" eb="45">
      <t>センタク</t>
    </rPh>
    <phoneticPr fontId="59"/>
  </si>
  <si>
    <t>台帳原本は、複製して利用するので台帳を作成する前に、プリンタに合わせて印刷設定しておきましょう。</t>
    <rPh sb="0" eb="4">
      <t>ダイチョウゲンポン</t>
    </rPh>
    <rPh sb="6" eb="8">
      <t>フクセイ</t>
    </rPh>
    <rPh sb="10" eb="12">
      <t>リヨウ</t>
    </rPh>
    <rPh sb="16" eb="18">
      <t>ダイチョウ</t>
    </rPh>
    <rPh sb="19" eb="21">
      <t>サクセイ</t>
    </rPh>
    <rPh sb="23" eb="24">
      <t>マエ</t>
    </rPh>
    <rPh sb="31" eb="32">
      <t>ア</t>
    </rPh>
    <rPh sb="35" eb="37">
      <t>インサツ</t>
    </rPh>
    <rPh sb="37" eb="39">
      <t>セッテイ</t>
    </rPh>
    <phoneticPr fontId="59"/>
  </si>
  <si>
    <t>賞与計算シートには、売上額の還元計算も入っていますが、この辺りは実態に合わせて変更してください。</t>
    <rPh sb="0" eb="2">
      <t>ショウヨ</t>
    </rPh>
    <rPh sb="2" eb="4">
      <t>ケイサン</t>
    </rPh>
    <rPh sb="10" eb="12">
      <t>ウリアゲ</t>
    </rPh>
    <rPh sb="12" eb="13">
      <t>ガク</t>
    </rPh>
    <rPh sb="14" eb="16">
      <t>カンゲン</t>
    </rPh>
    <rPh sb="16" eb="18">
      <t>ケイsナ</t>
    </rPh>
    <rPh sb="19" eb="20">
      <t>ハイ</t>
    </rPh>
    <rPh sb="29" eb="30">
      <t>アタ</t>
    </rPh>
    <rPh sb="32" eb="34">
      <t>ジッタイ</t>
    </rPh>
    <rPh sb="35" eb="36">
      <t>ア</t>
    </rPh>
    <rPh sb="39" eb="41">
      <t>ヘンコウ</t>
    </rPh>
    <phoneticPr fontId="59"/>
  </si>
  <si>
    <t>「台長作成」ボタンを押すと各人の台帳が作成されます。（個人データを更新した場合にも台長作成ボタンを押して上書きします）</t>
    <rPh sb="1" eb="5">
      <t>ダイチョウサクセイ</t>
    </rPh>
    <rPh sb="10" eb="11">
      <t>オ</t>
    </rPh>
    <rPh sb="13" eb="15">
      <t>カクジン</t>
    </rPh>
    <rPh sb="16" eb="18">
      <t>ダイチョウ</t>
    </rPh>
    <rPh sb="19" eb="21">
      <t>サクセイ</t>
    </rPh>
    <rPh sb="27" eb="29">
      <t>コジン</t>
    </rPh>
    <rPh sb="33" eb="35">
      <t>コウシン</t>
    </rPh>
    <rPh sb="37" eb="39">
      <t>バアイ</t>
    </rPh>
    <rPh sb="41" eb="45">
      <t>ダイチョウサクセイ</t>
    </rPh>
    <rPh sb="49" eb="50">
      <t>オ</t>
    </rPh>
    <rPh sb="52" eb="54">
      <t>ウワガ</t>
    </rPh>
    <phoneticPr fontId="59"/>
  </si>
  <si>
    <t>「台帳初期化」は、給与の転記データを削除したいとき（新年度が始まったとき）に使用します。</t>
    <rPh sb="1" eb="6">
      <t>ダイチョウショキカ</t>
    </rPh>
    <rPh sb="9" eb="11">
      <t>キュウヨ</t>
    </rPh>
    <rPh sb="12" eb="14">
      <t>テンキ</t>
    </rPh>
    <rPh sb="18" eb="20">
      <t>サクジョ</t>
    </rPh>
    <rPh sb="26" eb="29">
      <t>シンネンド</t>
    </rPh>
    <rPh sb="30" eb="31">
      <t>ハジ</t>
    </rPh>
    <rPh sb="38" eb="40">
      <t>シヨウ</t>
    </rPh>
    <phoneticPr fontId="59"/>
  </si>
  <si>
    <t>「台帳印刷」ボタンを押すと、各人の給与台帳を印刷します。</t>
    <rPh sb="1" eb="3">
      <t>ダイチョウ</t>
    </rPh>
    <rPh sb="3" eb="5">
      <t>インサツ</t>
    </rPh>
    <rPh sb="10" eb="11">
      <t>オ</t>
    </rPh>
    <rPh sb="14" eb="16">
      <t>カクジン</t>
    </rPh>
    <rPh sb="17" eb="21">
      <t>キュウヨダイチョウ</t>
    </rPh>
    <rPh sb="22" eb="24">
      <t>インサツ</t>
    </rPh>
    <phoneticPr fontId="59"/>
  </si>
  <si>
    <t>台帳にはその年の1月1日時点のデータを載せます。そのため台帳の年齢は1月1日時点のものです。</t>
    <rPh sb="0" eb="2">
      <t>ダイチョウ</t>
    </rPh>
    <rPh sb="6" eb="7">
      <t>トシ</t>
    </rPh>
    <rPh sb="9" eb="10">
      <t>ガツ</t>
    </rPh>
    <rPh sb="11" eb="12">
      <t>ニチ</t>
    </rPh>
    <rPh sb="12" eb="14">
      <t>ジテン</t>
    </rPh>
    <rPh sb="19" eb="20">
      <t>ノ</t>
    </rPh>
    <rPh sb="28" eb="30">
      <t>ダイチョウ</t>
    </rPh>
    <rPh sb="31" eb="33">
      <t>ネンレイ</t>
    </rPh>
    <rPh sb="35" eb="36">
      <t>ガツ</t>
    </rPh>
    <rPh sb="37" eb="38">
      <t>ニチ</t>
    </rPh>
    <rPh sb="38" eb="40">
      <t>ジテン</t>
    </rPh>
    <phoneticPr fontId="59"/>
  </si>
  <si>
    <t>復興特別所得税</t>
    <phoneticPr fontId="9"/>
  </si>
  <si>
    <t>50銭以下は切り捨て、50銭超えた場合に切り上げ</t>
    <rPh sb="2" eb="3">
      <t>セン</t>
    </rPh>
    <rPh sb="3" eb="5">
      <t>イカ</t>
    </rPh>
    <rPh sb="6" eb="7">
      <t>キ</t>
    </rPh>
    <rPh sb="8" eb="9">
      <t>ス</t>
    </rPh>
    <rPh sb="13" eb="14">
      <t>セン</t>
    </rPh>
    <rPh sb="14" eb="15">
      <t>コ</t>
    </rPh>
    <rPh sb="17" eb="19">
      <t>バアイ</t>
    </rPh>
    <rPh sb="20" eb="21">
      <t>キ</t>
    </rPh>
    <rPh sb="22" eb="23">
      <t>ア</t>
    </rPh>
    <phoneticPr fontId="9"/>
  </si>
  <si>
    <t>（四捨五入ではない）</t>
    <rPh sb="1" eb="5">
      <t>シシャゴニュウ</t>
    </rPh>
    <phoneticPr fontId="9"/>
  </si>
  <si>
    <t>給与から天引きの場合、一円未満の端数処理は、</t>
    <rPh sb="0" eb="2">
      <t>キュウヨ</t>
    </rPh>
    <rPh sb="4" eb="6">
      <t>テンビ</t>
    </rPh>
    <rPh sb="8" eb="10">
      <t>バアイ</t>
    </rPh>
    <rPh sb="11" eb="12">
      <t>1</t>
    </rPh>
    <rPh sb="12" eb="15">
      <t>エンミマン</t>
    </rPh>
    <rPh sb="16" eb="18">
      <t>ハスウ</t>
    </rPh>
    <rPh sb="18" eb="20">
      <t>ショリ</t>
    </rPh>
    <phoneticPr fontId="9"/>
  </si>
  <si>
    <t>【端数処理】</t>
    <rPh sb="1" eb="3">
      <t>ハスウ</t>
    </rPh>
    <rPh sb="3" eb="5">
      <t>ショリ</t>
    </rPh>
    <phoneticPr fontId="9"/>
  </si>
  <si>
    <t>賄費</t>
    <rPh sb="0" eb="1">
      <t>マカナ</t>
    </rPh>
    <rPh sb="1" eb="2">
      <t>ヒ</t>
    </rPh>
    <phoneticPr fontId="9"/>
  </si>
  <si>
    <t>寮費</t>
    <rPh sb="0" eb="2">
      <t>リョウヒ</t>
    </rPh>
    <phoneticPr fontId="9"/>
  </si>
  <si>
    <t>料率</t>
    <rPh sb="0" eb="2">
      <t>リョウリツ</t>
    </rPh>
    <phoneticPr fontId="9"/>
  </si>
  <si>
    <t>←端数処理</t>
    <rPh sb="1" eb="3">
      <t>ハスウ</t>
    </rPh>
    <rPh sb="3" eb="5">
      <t>ショリ</t>
    </rPh>
    <phoneticPr fontId="9"/>
  </si>
  <si>
    <t>A</t>
    <phoneticPr fontId="9"/>
  </si>
  <si>
    <t>B</t>
    <phoneticPr fontId="9"/>
  </si>
  <si>
    <t>D</t>
    <phoneticPr fontId="9"/>
  </si>
  <si>
    <t>E</t>
    <phoneticPr fontId="9"/>
  </si>
  <si>
    <t>C</t>
    <phoneticPr fontId="9"/>
  </si>
  <si>
    <t>従業者区分</t>
    <rPh sb="0" eb="3">
      <t>ジュウギョウシャ</t>
    </rPh>
    <rPh sb="3" eb="5">
      <t>クブン</t>
    </rPh>
    <phoneticPr fontId="9"/>
  </si>
  <si>
    <t>A4用紙</t>
    <phoneticPr fontId="9"/>
  </si>
  <si>
    <t>健康保険料の標準月額を入力します。変更があったときも手入力します。</t>
    <rPh sb="0" eb="5">
      <t>ケンコウホケンリョウオ</t>
    </rPh>
    <rPh sb="6" eb="10">
      <t>ヒョウジュンゲツガク</t>
    </rPh>
    <rPh sb="11" eb="13">
      <t>ニュウリョク</t>
    </rPh>
    <rPh sb="17" eb="19">
      <t>ヘンコウ</t>
    </rPh>
    <rPh sb="26" eb="27">
      <t>テ</t>
    </rPh>
    <rPh sb="27" eb="29">
      <t>ニュウリョク</t>
    </rPh>
    <phoneticPr fontId="5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</si>
</sst>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Red]\-#,##0.0"/>
    <numFmt numFmtId="178" formatCode="[$-411]ggge&quot;年&quot;m&quot;月&quot;"/>
    <numFmt numFmtId="179" formatCode="[$-411]ggge&quot;年&quot;"/>
    <numFmt numFmtId="180" formatCode="0_ "/>
    <numFmt numFmtId="181" formatCode="0.000%"/>
    <numFmt numFmtId="182" formatCode="[$-411]ge\.m\.d;@"/>
    <numFmt numFmtId="183" formatCode="yyyy/m/d;@"/>
    <numFmt numFmtId="184" formatCode="&quot;〒&quot;@"/>
  </numFmts>
  <fonts count="83" x14ac:knownFonts="1">
    <font>
      <sz val="11"/>
      <name val="ＭＳ Ｐゴシック"/>
      <family val="3"/>
      <charset val="128"/>
    </font>
    <font>
      <sz val="11"/>
      <name val="ＭＳ Ｐゴシック"/>
      <family val="3"/>
      <charset val="128"/>
    </font>
    <font>
      <sz val="12"/>
      <name val="ＭＳ 明朝"/>
      <family val="1"/>
      <charset val="128"/>
    </font>
    <font>
      <sz val="12"/>
      <name val="ＭＳ Ｐゴシック"/>
      <family val="3"/>
      <charset val="128"/>
    </font>
    <font>
      <sz val="11"/>
      <name val="Osaka"/>
      <family val="3"/>
      <charset val="128"/>
    </font>
    <font>
      <sz val="11"/>
      <color indexed="39"/>
      <name val="Osaka"/>
      <family val="3"/>
      <charset val="128"/>
    </font>
    <font>
      <sz val="11"/>
      <color indexed="10"/>
      <name val="ＭＳ Ｐゴシック"/>
      <family val="3"/>
      <charset val="128"/>
    </font>
    <font>
      <sz val="12"/>
      <name val="HG羽衣M"/>
      <family val="3"/>
      <charset val="128"/>
    </font>
    <font>
      <sz val="11"/>
      <name val="HG羽衣M"/>
      <family val="3"/>
      <charset val="128"/>
    </font>
    <font>
      <sz val="6"/>
      <name val="Osaka"/>
      <family val="3"/>
      <charset val="128"/>
    </font>
    <font>
      <sz val="11"/>
      <color indexed="10"/>
      <name val="Osaka"/>
      <family val="3"/>
      <charset val="128"/>
    </font>
    <font>
      <sz val="10"/>
      <color indexed="81"/>
      <name val="Osaka"/>
      <family val="3"/>
      <charset val="128"/>
    </font>
    <font>
      <b/>
      <sz val="10"/>
      <color indexed="81"/>
      <name val="Osaka"/>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8"/>
      <name val="ＭＳ Ｐゴシック"/>
      <family val="3"/>
      <charset val="128"/>
    </font>
    <font>
      <sz val="11"/>
      <name val="ＭＳ Ｐゴシック"/>
      <family val="3"/>
      <charset val="128"/>
    </font>
    <font>
      <sz val="12"/>
      <name val="HG羽衣M"/>
      <family val="3"/>
      <charset val="128"/>
    </font>
    <font>
      <sz val="12"/>
      <name val="HG羽衣M"/>
      <family val="3"/>
      <charset val="128"/>
    </font>
    <font>
      <sz val="18"/>
      <name val="HG羽衣M"/>
      <family val="3"/>
      <charset val="128"/>
    </font>
    <font>
      <sz val="12"/>
      <name val="細明朝体"/>
      <family val="3"/>
      <charset val="128"/>
    </font>
    <font>
      <sz val="12"/>
      <name val="Arial"/>
      <family val="2"/>
    </font>
    <font>
      <sz val="10"/>
      <name val="HG羽衣M"/>
      <family val="3"/>
      <charset val="128"/>
    </font>
    <font>
      <sz val="10"/>
      <name val="HG羽衣M"/>
      <family val="3"/>
      <charset val="128"/>
    </font>
    <font>
      <sz val="14"/>
      <name val="HG羽衣M"/>
      <family val="3"/>
      <charset val="128"/>
    </font>
    <font>
      <sz val="14"/>
      <name val="HG羽衣M"/>
      <family val="3"/>
      <charset val="128"/>
    </font>
    <font>
      <u/>
      <sz val="11"/>
      <color indexed="12"/>
      <name val="ＭＳ Ｐゴシック"/>
      <family val="3"/>
      <charset val="128"/>
    </font>
    <font>
      <sz val="11"/>
      <color indexed="9"/>
      <name val="Osaka"/>
      <family val="3"/>
      <charset val="128"/>
    </font>
    <font>
      <sz val="11"/>
      <color indexed="8"/>
      <name val="Osaka"/>
      <family val="3"/>
      <charset val="128"/>
    </font>
    <font>
      <sz val="12"/>
      <color indexed="81"/>
      <name val="Osaka"/>
      <family val="3"/>
      <charset val="128"/>
    </font>
    <font>
      <sz val="12"/>
      <color indexed="10"/>
      <name val="ＭＳ Ｐゴシック"/>
      <family val="3"/>
      <charset val="128"/>
    </font>
    <font>
      <b/>
      <sz val="12"/>
      <color indexed="81"/>
      <name val="Osaka"/>
      <family val="3"/>
      <charset val="128"/>
    </font>
    <font>
      <sz val="11"/>
      <color indexed="12"/>
      <name val="Osaka"/>
      <family val="3"/>
      <charset val="128"/>
    </font>
    <font>
      <sz val="10"/>
      <color indexed="10"/>
      <name val="ＭＳ 明朝"/>
      <family val="1"/>
      <charset val="128"/>
    </font>
    <font>
      <sz val="10"/>
      <name val="ＭＳ 明朝"/>
      <family val="1"/>
      <charset val="128"/>
    </font>
    <font>
      <b/>
      <sz val="10"/>
      <name val="ＭＳ 明朝"/>
      <family val="1"/>
      <charset val="128"/>
    </font>
    <font>
      <sz val="10"/>
      <color indexed="39"/>
      <name val="ＭＳ 明朝"/>
      <family val="1"/>
      <charset val="128"/>
    </font>
    <font>
      <sz val="10"/>
      <color indexed="43"/>
      <name val="ＭＳ 明朝"/>
      <family val="1"/>
      <charset val="128"/>
    </font>
    <font>
      <sz val="10"/>
      <color indexed="34"/>
      <name val="ＭＳ 明朝"/>
      <family val="1"/>
      <charset val="128"/>
    </font>
    <font>
      <b/>
      <sz val="10"/>
      <color indexed="9"/>
      <name val="ＭＳ 明朝"/>
      <family val="1"/>
      <charset val="128"/>
    </font>
    <font>
      <sz val="10"/>
      <color indexed="9"/>
      <name val="ＭＳ 明朝"/>
      <family val="1"/>
      <charset val="128"/>
    </font>
    <font>
      <sz val="10"/>
      <color indexed="12"/>
      <name val="ＭＳ 明朝"/>
      <family val="1"/>
      <charset val="128"/>
    </font>
    <font>
      <sz val="10"/>
      <color indexed="13"/>
      <name val="ＭＳ 明朝"/>
      <family val="1"/>
      <charset val="128"/>
    </font>
    <font>
      <b/>
      <sz val="12"/>
      <name val="ＭＳ Ｐ明朝"/>
      <family val="1"/>
      <charset val="128"/>
    </font>
    <font>
      <sz val="12"/>
      <name val="ＭＳ Ｐ明朝"/>
      <family val="1"/>
      <charset val="128"/>
    </font>
    <font>
      <sz val="12"/>
      <color indexed="10"/>
      <name val="ＭＳ Ｐ明朝"/>
      <family val="1"/>
      <charset val="128"/>
    </font>
    <font>
      <sz val="12"/>
      <color indexed="39"/>
      <name val="ＭＳ Ｐ明朝"/>
      <family val="1"/>
      <charset val="128"/>
    </font>
    <font>
      <b/>
      <sz val="14"/>
      <name val="ＭＳ 明朝"/>
      <family val="1"/>
      <charset val="128"/>
    </font>
    <font>
      <sz val="14"/>
      <name val="ＭＳ 明朝"/>
      <family val="1"/>
      <charset val="128"/>
    </font>
    <font>
      <sz val="8"/>
      <color indexed="34"/>
      <name val="ＭＳ 明朝"/>
      <family val="1"/>
      <charset val="128"/>
    </font>
    <font>
      <sz val="11"/>
      <name val="ＭＳ Ｐ明朝"/>
      <family val="1"/>
      <charset val="128"/>
    </font>
    <font>
      <u/>
      <sz val="11"/>
      <color indexed="12"/>
      <name val="ＭＳ Ｐ明朝"/>
      <family val="1"/>
      <charset val="128"/>
    </font>
    <font>
      <sz val="12"/>
      <color indexed="8"/>
      <name val="ＭＳ Ｐ明朝"/>
      <family val="1"/>
      <charset val="128"/>
    </font>
    <font>
      <sz val="11"/>
      <color indexed="10"/>
      <name val="ＭＳ Ｐ明朝"/>
      <family val="1"/>
      <charset val="128"/>
    </font>
    <font>
      <sz val="11"/>
      <color indexed="39"/>
      <name val="ＭＳ Ｐ明朝"/>
      <family val="1"/>
      <charset val="128"/>
    </font>
    <font>
      <sz val="10"/>
      <color indexed="10"/>
      <name val="ＭＳ Ｐ明朝"/>
      <family val="1"/>
      <charset val="128"/>
    </font>
    <font>
      <sz val="9"/>
      <name val="ＭＳ 明朝"/>
      <family val="1"/>
      <charset val="128"/>
    </font>
    <font>
      <sz val="12"/>
      <color indexed="12"/>
      <name val="ＭＳ Ｐ明朝"/>
      <family val="1"/>
      <charset val="128"/>
    </font>
    <font>
      <sz val="6"/>
      <name val="ＭＳ Ｐゴシック"/>
      <family val="3"/>
      <charset val="128"/>
    </font>
    <font>
      <sz val="12"/>
      <color indexed="43"/>
      <name val="ＭＳ Ｐ明朝"/>
      <family val="1"/>
      <charset val="128"/>
    </font>
    <font>
      <sz val="12"/>
      <color indexed="55"/>
      <name val="ＭＳ Ｐ明朝"/>
      <family val="1"/>
      <charset val="128"/>
    </font>
    <font>
      <sz val="11"/>
      <color indexed="47"/>
      <name val="ＭＳ Ｐ明朝"/>
      <family val="1"/>
      <charset val="128"/>
    </font>
    <font>
      <sz val="11"/>
      <color indexed="22"/>
      <name val="ＭＳ Ｐ明朝"/>
      <family val="1"/>
      <charset val="128"/>
    </font>
    <font>
      <sz val="9"/>
      <name val="Osaka"/>
      <family val="3"/>
      <charset val="128"/>
    </font>
    <font>
      <u/>
      <sz val="11"/>
      <color theme="11"/>
      <name val="ＭＳ Ｐゴシック"/>
      <family val="3"/>
      <charset val="128"/>
    </font>
    <font>
      <sz val="10"/>
      <color theme="0"/>
      <name val="Osaka"/>
      <family val="3"/>
      <charset val="128"/>
    </font>
    <font>
      <sz val="11"/>
      <color theme="0"/>
      <name val="ＭＳ Ｐゴシック"/>
      <family val="3"/>
      <charset val="128"/>
    </font>
    <font>
      <sz val="12"/>
      <color theme="0"/>
      <name val="ＭＳ 明朝"/>
      <family val="1"/>
      <charset val="128"/>
    </font>
    <font>
      <sz val="12"/>
      <color rgb="FFFFFF00"/>
      <name val="ＭＳ Ｐ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sz val="11"/>
      <color theme="0" tint="-0.14999847407452621"/>
      <name val="ＭＳ Ｐゴシック"/>
      <family val="3"/>
      <charset val="128"/>
    </font>
    <font>
      <sz val="11"/>
      <color theme="0" tint="-0.249977111117893"/>
      <name val="ＭＳ Ｐゴシック"/>
      <family val="3"/>
      <charset val="128"/>
    </font>
    <font>
      <sz val="12"/>
      <color theme="0" tint="-0.249977111117893"/>
      <name val="ＭＳ Ｐ明朝"/>
      <family val="1"/>
      <charset val="128"/>
    </font>
    <font>
      <sz val="12"/>
      <color theme="0" tint="-0.249977111117893"/>
      <name val="ＭＳ 明朝"/>
      <family val="1"/>
      <charset val="128"/>
    </font>
    <font>
      <sz val="11"/>
      <color theme="0" tint="-0.249977111117893"/>
      <name val="ＭＳ Ｐ明朝"/>
      <family val="1"/>
      <charset val="128"/>
    </font>
    <font>
      <sz val="8"/>
      <name val="ＭＳ Ｐゴシック"/>
      <family val="3"/>
      <charset val="128"/>
    </font>
    <font>
      <sz val="12"/>
      <color theme="0" tint="-0.14999847407452621"/>
      <name val="ＭＳ Ｐ明朝"/>
      <family val="1"/>
      <charset val="128"/>
    </font>
    <font>
      <sz val="11"/>
      <color rgb="FFFF0000"/>
      <name val="ＭＳ Ｐゴシック"/>
      <family val="3"/>
      <charset val="128"/>
    </font>
    <font>
      <sz val="8"/>
      <color rgb="FFFF0000"/>
      <name val="Osaka"/>
      <family val="3"/>
      <charset val="128"/>
    </font>
    <font>
      <sz val="12"/>
      <color rgb="FF000000"/>
      <name val="ＭＳ Ｐゴシック"/>
    </font>
  </fonts>
  <fills count="2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19"/>
        <bgColor indexed="64"/>
      </patternFill>
    </fill>
    <fill>
      <patternFill patternType="solid">
        <fgColor indexed="27"/>
        <bgColor indexed="64"/>
      </patternFill>
    </fill>
    <fill>
      <patternFill patternType="solid">
        <fgColor indexed="26"/>
        <bgColor indexed="64"/>
      </patternFill>
    </fill>
    <fill>
      <patternFill patternType="solid">
        <fgColor indexed="11"/>
        <bgColor indexed="64"/>
      </patternFill>
    </fill>
    <fill>
      <patternFill patternType="solid">
        <fgColor indexed="17"/>
        <bgColor indexed="64"/>
      </patternFill>
    </fill>
    <fill>
      <patternFill patternType="solid">
        <fgColor indexed="39"/>
        <bgColor indexed="64"/>
      </patternFill>
    </fill>
    <fill>
      <patternFill patternType="solid">
        <fgColor indexed="41"/>
        <bgColor indexed="64"/>
      </patternFill>
    </fill>
    <fill>
      <patternFill patternType="solid">
        <fgColor indexed="44"/>
        <bgColor indexed="64"/>
      </patternFill>
    </fill>
    <fill>
      <patternFill patternType="solid">
        <fgColor indexed="31"/>
        <bgColor indexed="64"/>
      </patternFill>
    </fill>
    <fill>
      <patternFill patternType="solid">
        <fgColor indexed="1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rgb="FFFF0000"/>
        <bgColor indexed="64"/>
      </patternFill>
    </fill>
    <fill>
      <patternFill patternType="solid">
        <fgColor rgb="FFFEFB88"/>
        <bgColor indexed="64"/>
      </patternFill>
    </fill>
    <fill>
      <patternFill patternType="solid">
        <fgColor theme="0"/>
        <bgColor indexed="64"/>
      </patternFill>
    </fill>
  </fills>
  <borders count="80">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style="hair">
        <color auto="1"/>
      </right>
      <top/>
      <bottom/>
      <diagonal/>
    </border>
    <border>
      <left style="hair">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top/>
      <bottom style="double">
        <color auto="1"/>
      </bottom>
      <diagonal/>
    </border>
    <border>
      <left style="hair">
        <color auto="1"/>
      </left>
      <right style="hair">
        <color auto="1"/>
      </right>
      <top style="hair">
        <color auto="1"/>
      </top>
      <bottom style="hair">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medium">
        <color auto="1"/>
      </bottom>
      <diagonal/>
    </border>
    <border>
      <left/>
      <right style="thin">
        <color auto="1"/>
      </right>
      <top/>
      <bottom style="hair">
        <color auto="1"/>
      </bottom>
      <diagonal/>
    </border>
    <border>
      <left/>
      <right style="thin">
        <color auto="1"/>
      </right>
      <top style="medium">
        <color auto="1"/>
      </top>
      <bottom style="hair">
        <color auto="1"/>
      </bottom>
      <diagonal/>
    </border>
    <border>
      <left/>
      <right style="thin">
        <color auto="1"/>
      </right>
      <top style="thin">
        <color auto="1"/>
      </top>
      <bottom style="hair">
        <color auto="1"/>
      </bottom>
      <diagonal/>
    </border>
    <border>
      <left style="thin">
        <color auto="1"/>
      </left>
      <right style="double">
        <color auto="1"/>
      </right>
      <top style="medium">
        <color auto="1"/>
      </top>
      <bottom style="medium">
        <color auto="1"/>
      </bottom>
      <diagonal/>
    </border>
    <border>
      <left/>
      <right style="thin">
        <color auto="1"/>
      </right>
      <top style="medium">
        <color auto="1"/>
      </top>
      <bottom style="medium">
        <color auto="1"/>
      </bottom>
      <diagonal/>
    </border>
    <border>
      <left style="hair">
        <color auto="1"/>
      </left>
      <right/>
      <top style="hair">
        <color auto="1"/>
      </top>
      <bottom style="thin">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63">
    <xf numFmtId="0" fontId="0"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cellStyleXfs>
  <cellXfs count="642">
    <xf numFmtId="0" fontId="0" fillId="0" borderId="0" xfId="0"/>
    <xf numFmtId="0" fontId="2" fillId="0" borderId="0" xfId="0" applyFont="1"/>
    <xf numFmtId="0" fontId="2" fillId="0" borderId="0" xfId="0" applyFont="1" applyProtection="1"/>
    <xf numFmtId="0" fontId="4" fillId="0" borderId="0" xfId="0" applyFont="1"/>
    <xf numFmtId="0" fontId="4" fillId="2" borderId="1" xfId="0" applyFont="1" applyFill="1" applyBorder="1" applyAlignment="1">
      <alignment horizontal="center"/>
    </xf>
    <xf numFmtId="38" fontId="4" fillId="2" borderId="2" xfId="3" applyFont="1" applyFill="1" applyBorder="1"/>
    <xf numFmtId="38" fontId="4" fillId="2" borderId="3" xfId="3" applyFont="1" applyFill="1" applyBorder="1"/>
    <xf numFmtId="0" fontId="4" fillId="2" borderId="4" xfId="0" applyFont="1" applyFill="1" applyBorder="1" applyAlignment="1">
      <alignment horizontal="center"/>
    </xf>
    <xf numFmtId="38" fontId="4" fillId="2" borderId="5" xfId="3" applyFont="1" applyFill="1" applyBorder="1"/>
    <xf numFmtId="38" fontId="4" fillId="0" borderId="0" xfId="3" applyFont="1"/>
    <xf numFmtId="0" fontId="7" fillId="0" borderId="0" xfId="0" applyFont="1" applyProtection="1"/>
    <xf numFmtId="0" fontId="8" fillId="0" borderId="0" xfId="0" applyFont="1" applyProtection="1"/>
    <xf numFmtId="38" fontId="4" fillId="0" borderId="0" xfId="0" applyNumberFormat="1" applyFont="1"/>
    <xf numFmtId="0" fontId="0" fillId="0" borderId="2" xfId="0" applyBorder="1" applyProtection="1">
      <protection locked="0"/>
    </xf>
    <xf numFmtId="0" fontId="0" fillId="3" borderId="2" xfId="0" applyFill="1" applyBorder="1" applyAlignment="1">
      <alignment horizontal="right"/>
    </xf>
    <xf numFmtId="0" fontId="0" fillId="3" borderId="2" xfId="0" applyFill="1" applyBorder="1"/>
    <xf numFmtId="0" fontId="0" fillId="3" borderId="2" xfId="0" applyFill="1" applyBorder="1" applyProtection="1">
      <protection locked="0"/>
    </xf>
    <xf numFmtId="0" fontId="13" fillId="0" borderId="0" xfId="0" applyFont="1" applyAlignment="1">
      <alignment horizontal="left"/>
    </xf>
    <xf numFmtId="0" fontId="0" fillId="0" borderId="2" xfId="0" applyBorder="1"/>
    <xf numFmtId="38" fontId="0" fillId="0" borderId="2" xfId="3" applyFont="1" applyBorder="1"/>
    <xf numFmtId="10" fontId="6" fillId="0" borderId="2" xfId="1" applyNumberFormat="1" applyFont="1" applyBorder="1"/>
    <xf numFmtId="0" fontId="18" fillId="5" borderId="11" xfId="0" applyFont="1" applyFill="1" applyBorder="1" applyAlignment="1" applyProtection="1">
      <alignment horizontal="center"/>
    </xf>
    <xf numFmtId="38" fontId="18" fillId="5" borderId="9" xfId="3" applyFont="1" applyFill="1" applyBorder="1" applyProtection="1"/>
    <xf numFmtId="0" fontId="18" fillId="5" borderId="22" xfId="0" applyFont="1" applyFill="1" applyBorder="1" applyAlignment="1" applyProtection="1">
      <alignment horizontal="center"/>
    </xf>
    <xf numFmtId="38" fontId="18" fillId="5" borderId="23" xfId="3" applyFont="1" applyFill="1" applyBorder="1" applyProtection="1"/>
    <xf numFmtId="0" fontId="18" fillId="2" borderId="4" xfId="0" applyFont="1" applyFill="1" applyBorder="1" applyAlignment="1" applyProtection="1">
      <alignment horizontal="center"/>
    </xf>
    <xf numFmtId="38" fontId="18" fillId="2" borderId="5" xfId="3" applyFont="1" applyFill="1" applyBorder="1" applyProtection="1"/>
    <xf numFmtId="0" fontId="18" fillId="0" borderId="13" xfId="0" applyFont="1" applyBorder="1" applyProtection="1"/>
    <xf numFmtId="0" fontId="18" fillId="0" borderId="14" xfId="0" applyFont="1" applyBorder="1" applyProtection="1"/>
    <xf numFmtId="0" fontId="18" fillId="5" borderId="24" xfId="0" applyFont="1" applyFill="1" applyBorder="1" applyAlignment="1" applyProtection="1">
      <alignment horizontal="center"/>
    </xf>
    <xf numFmtId="38" fontId="18" fillId="5" borderId="25" xfId="3" applyFont="1" applyFill="1" applyBorder="1" applyProtection="1"/>
    <xf numFmtId="0" fontId="18" fillId="5" borderId="12" xfId="0" applyFont="1" applyFill="1" applyBorder="1" applyAlignment="1" applyProtection="1">
      <alignment horizontal="center"/>
    </xf>
    <xf numFmtId="0" fontId="18" fillId="2" borderId="1" xfId="0" applyFont="1" applyFill="1" applyBorder="1" applyAlignment="1" applyProtection="1">
      <alignment horizontal="center"/>
    </xf>
    <xf numFmtId="38" fontId="18" fillId="2" borderId="3" xfId="3" applyFont="1" applyFill="1" applyBorder="1" applyProtection="1"/>
    <xf numFmtId="38" fontId="18" fillId="5" borderId="3" xfId="3" applyFont="1" applyFill="1" applyBorder="1" applyProtection="1"/>
    <xf numFmtId="0" fontId="18" fillId="0" borderId="13" xfId="0" applyFont="1" applyBorder="1" applyAlignment="1" applyProtection="1">
      <alignment horizontal="center"/>
    </xf>
    <xf numFmtId="38" fontId="18" fillId="0" borderId="14" xfId="3" applyFont="1" applyBorder="1" applyProtection="1"/>
    <xf numFmtId="38" fontId="18" fillId="2" borderId="26" xfId="3" applyFont="1" applyFill="1" applyBorder="1" applyProtection="1"/>
    <xf numFmtId="38" fontId="22" fillId="2" borderId="1" xfId="3" applyFont="1" applyFill="1" applyBorder="1" applyProtection="1"/>
    <xf numFmtId="0" fontId="22" fillId="5" borderId="3" xfId="0" applyFont="1" applyFill="1" applyBorder="1" applyProtection="1"/>
    <xf numFmtId="38" fontId="22" fillId="2" borderId="4" xfId="3" applyFont="1" applyFill="1" applyBorder="1" applyProtection="1"/>
    <xf numFmtId="0" fontId="22" fillId="5" borderId="5" xfId="0" applyFont="1" applyFill="1" applyBorder="1" applyProtection="1"/>
    <xf numFmtId="0" fontId="23" fillId="2" borderId="27" xfId="0" applyFont="1" applyFill="1" applyBorder="1" applyAlignment="1" applyProtection="1">
      <alignment horizontal="center"/>
    </xf>
    <xf numFmtId="0" fontId="24" fillId="5" borderId="1" xfId="0" applyFont="1" applyFill="1" applyBorder="1" applyAlignment="1" applyProtection="1">
      <alignment horizontal="center"/>
    </xf>
    <xf numFmtId="0" fontId="0" fillId="0" borderId="0" xfId="0" applyAlignment="1">
      <alignment horizontal="center"/>
    </xf>
    <xf numFmtId="0" fontId="2" fillId="0" borderId="34" xfId="0" applyFont="1" applyBorder="1"/>
    <xf numFmtId="0" fontId="19" fillId="0" borderId="3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7" fillId="0" borderId="34" xfId="0" applyFont="1" applyFill="1" applyBorder="1" applyProtection="1"/>
    <xf numFmtId="0" fontId="7" fillId="0" borderId="35" xfId="0" applyFont="1" applyFill="1" applyBorder="1" applyProtection="1"/>
    <xf numFmtId="0" fontId="26" fillId="0" borderId="34" xfId="0" applyFont="1" applyFill="1" applyBorder="1" applyAlignment="1" applyProtection="1">
      <alignment horizontal="center"/>
    </xf>
    <xf numFmtId="0" fontId="26" fillId="0" borderId="35" xfId="0" applyFont="1" applyFill="1" applyBorder="1" applyAlignment="1" applyProtection="1">
      <alignment horizontal="center"/>
    </xf>
    <xf numFmtId="38" fontId="18" fillId="0" borderId="34" xfId="3" applyFont="1" applyFill="1" applyBorder="1" applyProtection="1"/>
    <xf numFmtId="38" fontId="18" fillId="0" borderId="35" xfId="3" applyFont="1" applyFill="1" applyBorder="1" applyProtection="1"/>
    <xf numFmtId="0" fontId="18" fillId="0" borderId="34" xfId="0" applyFont="1" applyFill="1" applyBorder="1" applyProtection="1"/>
    <xf numFmtId="0" fontId="18" fillId="0" borderId="35" xfId="0" applyFont="1" applyFill="1" applyBorder="1" applyProtection="1"/>
    <xf numFmtId="0" fontId="8" fillId="0" borderId="34" xfId="0" applyFont="1" applyFill="1" applyBorder="1" applyProtection="1"/>
    <xf numFmtId="0" fontId="8" fillId="0" borderId="35" xfId="0" applyFont="1" applyFill="1" applyBorder="1" applyProtection="1"/>
    <xf numFmtId="0" fontId="21" fillId="0" borderId="3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2" fillId="0" borderId="34" xfId="0" applyFont="1" applyFill="1" applyBorder="1" applyProtection="1"/>
    <xf numFmtId="0" fontId="22" fillId="0" borderId="35" xfId="0" applyFont="1" applyFill="1" applyBorder="1" applyProtection="1"/>
    <xf numFmtId="0" fontId="4" fillId="7" borderId="0" xfId="0" applyFont="1" applyFill="1" applyAlignment="1">
      <alignment horizontal="center"/>
    </xf>
    <xf numFmtId="0" fontId="29" fillId="7" borderId="0" xfId="0" applyFont="1" applyFill="1" applyAlignment="1">
      <alignment horizontal="center"/>
    </xf>
    <xf numFmtId="0" fontId="4" fillId="0" borderId="2" xfId="0" applyFont="1" applyBorder="1"/>
    <xf numFmtId="0" fontId="29" fillId="0" borderId="2" xfId="0" applyFont="1" applyBorder="1"/>
    <xf numFmtId="9" fontId="4" fillId="0" borderId="2" xfId="1" applyFont="1" applyBorder="1"/>
    <xf numFmtId="38" fontId="29" fillId="0" borderId="2" xfId="3" applyFont="1" applyBorder="1"/>
    <xf numFmtId="38" fontId="4" fillId="0" borderId="2" xfId="3" applyFont="1" applyBorder="1"/>
    <xf numFmtId="0" fontId="4" fillId="0" borderId="2" xfId="0" applyFont="1" applyBorder="1" applyAlignment="1">
      <alignment horizontal="center"/>
    </xf>
    <xf numFmtId="0" fontId="4" fillId="3" borderId="2" xfId="0" applyFont="1" applyFill="1" applyBorder="1" applyAlignment="1">
      <alignment horizontal="center"/>
    </xf>
    <xf numFmtId="0" fontId="4" fillId="7" borderId="0" xfId="0" applyFont="1" applyFill="1"/>
    <xf numFmtId="9" fontId="4" fillId="0" borderId="2" xfId="1" applyFont="1" applyFill="1" applyBorder="1"/>
    <xf numFmtId="0" fontId="4" fillId="0" borderId="36" xfId="0" applyFont="1" applyBorder="1"/>
    <xf numFmtId="0" fontId="4" fillId="0" borderId="37" xfId="0" applyFont="1" applyBorder="1" applyAlignment="1">
      <alignment horizontal="center"/>
    </xf>
    <xf numFmtId="0" fontId="4" fillId="0" borderId="38" xfId="0" applyFont="1" applyBorder="1" applyAlignment="1">
      <alignment horizontal="center"/>
    </xf>
    <xf numFmtId="0" fontId="4" fillId="6" borderId="36" xfId="0" applyFont="1" applyFill="1" applyBorder="1" applyAlignment="1">
      <alignment horizontal="centerContinuous"/>
    </xf>
    <xf numFmtId="0" fontId="4" fillId="6" borderId="39" xfId="0" applyFont="1" applyFill="1" applyBorder="1" applyAlignment="1">
      <alignment horizontal="centerContinuous"/>
    </xf>
    <xf numFmtId="0" fontId="4" fillId="6" borderId="38" xfId="0" applyFont="1" applyFill="1" applyBorder="1" applyAlignment="1">
      <alignment horizontal="center"/>
    </xf>
    <xf numFmtId="0" fontId="5" fillId="3" borderId="40" xfId="0" applyFont="1" applyFill="1" applyBorder="1"/>
    <xf numFmtId="0" fontId="4" fillId="8" borderId="1" xfId="0" applyFont="1" applyFill="1" applyBorder="1"/>
    <xf numFmtId="0" fontId="4" fillId="5" borderId="2" xfId="0" applyFont="1" applyFill="1" applyBorder="1"/>
    <xf numFmtId="0" fontId="4" fillId="3" borderId="41" xfId="0" applyFont="1" applyFill="1" applyBorder="1"/>
    <xf numFmtId="0" fontId="4" fillId="8" borderId="4" xfId="0" applyFont="1" applyFill="1" applyBorder="1"/>
    <xf numFmtId="0" fontId="4" fillId="5" borderId="30" xfId="0" applyFont="1" applyFill="1" applyBorder="1"/>
    <xf numFmtId="0" fontId="4" fillId="3" borderId="42" xfId="0" applyFont="1" applyFill="1" applyBorder="1"/>
    <xf numFmtId="0" fontId="0" fillId="0" borderId="29" xfId="0" applyBorder="1" applyAlignment="1">
      <alignment horizontal="center"/>
    </xf>
    <xf numFmtId="0" fontId="0" fillId="0" borderId="0" xfId="0" applyFill="1" applyBorder="1"/>
    <xf numFmtId="0" fontId="0" fillId="0" borderId="2" xfId="0" applyFill="1" applyBorder="1" applyAlignment="1">
      <alignment horizontal="right"/>
    </xf>
    <xf numFmtId="0" fontId="0" fillId="0" borderId="8" xfId="0" applyFill="1" applyBorder="1" applyAlignment="1">
      <alignment horizontal="center"/>
    </xf>
    <xf numFmtId="0" fontId="0" fillId="0" borderId="6" xfId="0" applyFill="1" applyBorder="1" applyAlignment="1">
      <alignment horizontal="center"/>
    </xf>
    <xf numFmtId="0" fontId="0" fillId="0" borderId="8" xfId="0" applyFill="1" applyBorder="1"/>
    <xf numFmtId="0" fontId="0" fillId="0" borderId="7" xfId="0" applyFill="1" applyBorder="1"/>
    <xf numFmtId="38" fontId="0" fillId="0" borderId="17" xfId="3" applyFont="1" applyBorder="1"/>
    <xf numFmtId="0" fontId="0" fillId="0" borderId="17" xfId="0" applyBorder="1"/>
    <xf numFmtId="38" fontId="0" fillId="0" borderId="18" xfId="3" applyFont="1" applyBorder="1"/>
    <xf numFmtId="0" fontId="0" fillId="0" borderId="18" xfId="0" applyBorder="1"/>
    <xf numFmtId="38" fontId="0" fillId="0" borderId="19" xfId="3" applyFont="1" applyBorder="1"/>
    <xf numFmtId="0" fontId="0" fillId="0" borderId="19" xfId="0" applyBorder="1"/>
    <xf numFmtId="38" fontId="0" fillId="0" borderId="2" xfId="3" applyFont="1" applyFill="1" applyBorder="1"/>
    <xf numFmtId="0" fontId="0" fillId="0" borderId="2" xfId="0" applyFill="1" applyBorder="1" applyAlignment="1">
      <alignment horizontal="center"/>
    </xf>
    <xf numFmtId="38" fontId="10" fillId="0" borderId="0" xfId="0" applyNumberFormat="1" applyFont="1" applyFill="1" applyAlignment="1">
      <alignment horizontal="center"/>
    </xf>
    <xf numFmtId="0" fontId="4" fillId="0" borderId="0" xfId="0" applyFont="1" applyFill="1"/>
    <xf numFmtId="38" fontId="10" fillId="0" borderId="0" xfId="0" applyNumberFormat="1" applyFont="1" applyFill="1"/>
    <xf numFmtId="0" fontId="5" fillId="0" borderId="0" xfId="0" applyFont="1" applyFill="1"/>
    <xf numFmtId="38" fontId="4" fillId="0" borderId="0" xfId="3" applyFont="1" applyFill="1"/>
    <xf numFmtId="0" fontId="10" fillId="0" borderId="0" xfId="0" applyFont="1" applyFill="1"/>
    <xf numFmtId="38" fontId="10" fillId="2" borderId="5" xfId="3" applyFont="1" applyFill="1" applyBorder="1"/>
    <xf numFmtId="38" fontId="10" fillId="2" borderId="30" xfId="3" applyFont="1" applyFill="1" applyBorder="1"/>
    <xf numFmtId="38" fontId="33" fillId="2" borderId="2" xfId="3" applyFont="1" applyFill="1" applyBorder="1"/>
    <xf numFmtId="38" fontId="33" fillId="2" borderId="3" xfId="3" applyFont="1" applyFill="1" applyBorder="1"/>
    <xf numFmtId="14" fontId="34" fillId="3" borderId="0" xfId="0" applyNumberFormat="1" applyFont="1" applyFill="1" applyProtection="1">
      <protection locked="0"/>
    </xf>
    <xf numFmtId="0" fontId="35" fillId="3" borderId="0" xfId="0" applyFont="1" applyFill="1" applyAlignment="1">
      <alignment horizontal="center"/>
    </xf>
    <xf numFmtId="0" fontId="35" fillId="3" borderId="0" xfId="0" applyFont="1" applyFill="1"/>
    <xf numFmtId="0" fontId="35" fillId="0" borderId="0" xfId="0" applyFont="1"/>
    <xf numFmtId="179" fontId="36" fillId="2" borderId="36" xfId="0" applyNumberFormat="1" applyFont="1" applyFill="1" applyBorder="1" applyAlignment="1" applyProtection="1">
      <alignment horizontal="center"/>
      <protection locked="0"/>
    </xf>
    <xf numFmtId="0" fontId="36" fillId="2" borderId="37" xfId="0" applyFont="1" applyFill="1" applyBorder="1" applyAlignment="1">
      <alignment horizontal="center"/>
    </xf>
    <xf numFmtId="178" fontId="36" fillId="2" borderId="43" xfId="0" applyNumberFormat="1" applyFont="1" applyFill="1" applyBorder="1" applyAlignment="1" applyProtection="1">
      <alignment horizontal="center"/>
      <protection locked="0"/>
    </xf>
    <xf numFmtId="178" fontId="36" fillId="2" borderId="44" xfId="0" applyNumberFormat="1" applyFont="1" applyFill="1" applyBorder="1" applyAlignment="1" applyProtection="1">
      <alignment horizontal="center"/>
      <protection locked="0"/>
    </xf>
    <xf numFmtId="0" fontId="35" fillId="2" borderId="36" xfId="0" applyFont="1" applyFill="1" applyBorder="1" applyAlignment="1">
      <alignment horizontal="center"/>
    </xf>
    <xf numFmtId="0" fontId="35" fillId="5" borderId="11" xfId="0" applyFont="1" applyFill="1" applyBorder="1" applyAlignment="1">
      <alignment horizontal="center"/>
    </xf>
    <xf numFmtId="38" fontId="35" fillId="5" borderId="45" xfId="3" applyFont="1" applyFill="1" applyBorder="1" applyProtection="1">
      <protection locked="0"/>
    </xf>
    <xf numFmtId="38" fontId="35" fillId="5" borderId="9" xfId="3" applyFont="1" applyFill="1" applyBorder="1" applyProtection="1">
      <protection locked="0"/>
    </xf>
    <xf numFmtId="38" fontId="35" fillId="5" borderId="17" xfId="3" applyFont="1" applyFill="1" applyBorder="1" applyProtection="1">
      <protection locked="0"/>
    </xf>
    <xf numFmtId="0" fontId="35" fillId="5" borderId="22" xfId="0" applyFont="1" applyFill="1" applyBorder="1" applyAlignment="1">
      <alignment horizontal="center"/>
    </xf>
    <xf numFmtId="38" fontId="35" fillId="5" borderId="23" xfId="3" applyFont="1" applyFill="1" applyBorder="1" applyProtection="1">
      <protection locked="0"/>
    </xf>
    <xf numFmtId="38" fontId="35" fillId="4" borderId="45" xfId="3" applyFont="1" applyFill="1" applyBorder="1" applyProtection="1">
      <protection locked="0"/>
    </xf>
    <xf numFmtId="0" fontId="35" fillId="2" borderId="4" xfId="0" applyFont="1" applyFill="1" applyBorder="1" applyAlignment="1">
      <alignment horizontal="center"/>
    </xf>
    <xf numFmtId="38" fontId="35" fillId="2" borderId="30" xfId="3" applyFont="1" applyFill="1" applyBorder="1"/>
    <xf numFmtId="38" fontId="35" fillId="2" borderId="5" xfId="3" applyFont="1" applyFill="1" applyBorder="1"/>
    <xf numFmtId="0" fontId="35" fillId="5" borderId="24" xfId="0" applyFont="1" applyFill="1" applyBorder="1" applyAlignment="1">
      <alignment horizontal="center"/>
    </xf>
    <xf numFmtId="38" fontId="35" fillId="4" borderId="46" xfId="3" applyNumberFormat="1" applyFont="1" applyFill="1" applyBorder="1" applyProtection="1">
      <protection locked="0"/>
    </xf>
    <xf numFmtId="38" fontId="35" fillId="5" borderId="25" xfId="3" applyNumberFormat="1" applyFont="1" applyFill="1" applyBorder="1" applyProtection="1">
      <protection locked="0"/>
    </xf>
    <xf numFmtId="0" fontId="35" fillId="5" borderId="12" xfId="0" applyFont="1" applyFill="1" applyBorder="1" applyAlignment="1">
      <alignment horizontal="center"/>
    </xf>
    <xf numFmtId="38" fontId="35" fillId="5" borderId="29" xfId="3" applyFont="1" applyFill="1" applyBorder="1" applyProtection="1">
      <protection locked="0"/>
    </xf>
    <xf numFmtId="38" fontId="35" fillId="5" borderId="10" xfId="3" applyFont="1" applyFill="1" applyBorder="1" applyProtection="1">
      <protection locked="0"/>
    </xf>
    <xf numFmtId="0" fontId="35" fillId="2" borderId="1" xfId="0" applyFont="1" applyFill="1" applyBorder="1" applyAlignment="1">
      <alignment horizontal="center"/>
    </xf>
    <xf numFmtId="38" fontId="35" fillId="2" borderId="2" xfId="3" applyFont="1" applyFill="1" applyBorder="1"/>
    <xf numFmtId="38" fontId="35" fillId="2" borderId="3" xfId="3" applyFont="1" applyFill="1" applyBorder="1"/>
    <xf numFmtId="38" fontId="35" fillId="4" borderId="29" xfId="3" applyFont="1" applyFill="1" applyBorder="1" applyProtection="1">
      <protection locked="0"/>
    </xf>
    <xf numFmtId="38" fontId="35" fillId="4" borderId="17" xfId="3" applyFont="1" applyFill="1" applyBorder="1" applyProtection="1">
      <protection locked="0"/>
    </xf>
    <xf numFmtId="38" fontId="35" fillId="4" borderId="9" xfId="3" applyFont="1" applyFill="1" applyBorder="1" applyProtection="1">
      <protection locked="0"/>
    </xf>
    <xf numFmtId="38" fontId="35" fillId="4" borderId="10" xfId="3" applyFont="1" applyFill="1" applyBorder="1" applyProtection="1">
      <protection locked="0"/>
    </xf>
    <xf numFmtId="0" fontId="35" fillId="0" borderId="36" xfId="0" applyFont="1" applyBorder="1" applyAlignment="1">
      <alignment horizontal="center"/>
    </xf>
    <xf numFmtId="38" fontId="35" fillId="4" borderId="37" xfId="3" applyFont="1" applyFill="1" applyBorder="1"/>
    <xf numFmtId="38" fontId="35" fillId="5" borderId="38" xfId="3" applyFont="1" applyFill="1" applyBorder="1"/>
    <xf numFmtId="0" fontId="35" fillId="0" borderId="4" xfId="0" applyFont="1" applyBorder="1" applyAlignment="1">
      <alignment horizontal="center"/>
    </xf>
    <xf numFmtId="9" fontId="35" fillId="4" borderId="30" xfId="1" applyFont="1" applyFill="1" applyBorder="1" applyProtection="1">
      <protection locked="0"/>
    </xf>
    <xf numFmtId="9" fontId="35" fillId="5" borderId="5" xfId="1" applyFont="1" applyFill="1" applyBorder="1" applyProtection="1">
      <protection locked="0"/>
    </xf>
    <xf numFmtId="0" fontId="35" fillId="5" borderId="1" xfId="0" applyFont="1" applyFill="1" applyBorder="1" applyAlignment="1">
      <alignment horizontal="center"/>
    </xf>
    <xf numFmtId="38" fontId="35" fillId="5" borderId="2" xfId="3" applyFont="1" applyFill="1" applyBorder="1" applyProtection="1">
      <protection locked="0"/>
    </xf>
    <xf numFmtId="38" fontId="35" fillId="5" borderId="3" xfId="3" applyFont="1" applyFill="1" applyBorder="1" applyProtection="1">
      <protection locked="0"/>
    </xf>
    <xf numFmtId="38" fontId="35" fillId="4" borderId="17" xfId="3" applyNumberFormat="1" applyFont="1" applyFill="1" applyBorder="1" applyProtection="1">
      <protection locked="0"/>
    </xf>
    <xf numFmtId="0" fontId="35" fillId="0" borderId="0" xfId="0" applyFont="1" applyAlignment="1">
      <alignment horizontal="center"/>
    </xf>
    <xf numFmtId="38" fontId="35" fillId="0" borderId="0" xfId="3" applyFont="1"/>
    <xf numFmtId="38" fontId="35" fillId="5" borderId="46" xfId="3" applyFont="1" applyFill="1" applyBorder="1" applyProtection="1"/>
    <xf numFmtId="38" fontId="35" fillId="5" borderId="25" xfId="3" applyFont="1" applyFill="1" applyBorder="1" applyProtection="1"/>
    <xf numFmtId="0" fontId="35" fillId="2" borderId="27" xfId="0" applyFont="1" applyFill="1" applyBorder="1" applyAlignment="1">
      <alignment horizontal="center"/>
    </xf>
    <xf numFmtId="38" fontId="35" fillId="2" borderId="47" xfId="3" applyFont="1" applyFill="1" applyBorder="1"/>
    <xf numFmtId="38" fontId="37" fillId="2" borderId="26" xfId="3" applyFont="1" applyFill="1" applyBorder="1"/>
    <xf numFmtId="38" fontId="35" fillId="5" borderId="45" xfId="3" applyFont="1" applyFill="1" applyBorder="1" applyProtection="1"/>
    <xf numFmtId="38" fontId="35" fillId="5" borderId="23" xfId="3" applyFont="1" applyFill="1" applyBorder="1" applyProtection="1"/>
    <xf numFmtId="38" fontId="35" fillId="0" borderId="0" xfId="0" applyNumberFormat="1" applyFont="1"/>
    <xf numFmtId="0" fontId="35" fillId="2" borderId="48" xfId="0" applyFont="1" applyFill="1" applyBorder="1" applyAlignment="1">
      <alignment horizontal="centerContinuous"/>
    </xf>
    <xf numFmtId="0" fontId="35" fillId="2" borderId="39" xfId="0" applyFont="1" applyFill="1" applyBorder="1" applyAlignment="1">
      <alignment horizontal="centerContinuous"/>
    </xf>
    <xf numFmtId="0" fontId="35" fillId="2" borderId="39" xfId="0" applyFont="1" applyFill="1" applyBorder="1"/>
    <xf numFmtId="38" fontId="35" fillId="2" borderId="44" xfId="0" applyNumberFormat="1" applyFont="1" applyFill="1" applyBorder="1"/>
    <xf numFmtId="38" fontId="35" fillId="0" borderId="37" xfId="3" applyFont="1" applyBorder="1"/>
    <xf numFmtId="38" fontId="35" fillId="0" borderId="38" xfId="3" applyFont="1" applyBorder="1"/>
    <xf numFmtId="0" fontId="35" fillId="9" borderId="13" xfId="0" applyFont="1" applyFill="1" applyBorder="1" applyAlignment="1">
      <alignment horizontal="center"/>
    </xf>
    <xf numFmtId="0" fontId="35" fillId="4" borderId="49" xfId="0" applyFont="1" applyFill="1" applyBorder="1"/>
    <xf numFmtId="0" fontId="35" fillId="4" borderId="50" xfId="0" applyFont="1" applyFill="1" applyBorder="1"/>
    <xf numFmtId="38" fontId="35" fillId="4" borderId="31" xfId="0" applyNumberFormat="1" applyFont="1" applyFill="1" applyBorder="1"/>
    <xf numFmtId="38" fontId="35" fillId="0" borderId="30" xfId="3" applyFont="1" applyBorder="1" applyProtection="1">
      <protection locked="0"/>
    </xf>
    <xf numFmtId="38" fontId="35" fillId="0" borderId="5" xfId="3" applyFont="1" applyBorder="1" applyProtection="1">
      <protection locked="0"/>
    </xf>
    <xf numFmtId="0" fontId="35" fillId="9" borderId="13" xfId="0" applyFont="1" applyFill="1" applyBorder="1"/>
    <xf numFmtId="38" fontId="35" fillId="0" borderId="45" xfId="3" applyFont="1" applyFill="1" applyBorder="1" applyProtection="1">
      <protection locked="0"/>
    </xf>
    <xf numFmtId="38" fontId="35" fillId="0" borderId="23" xfId="3" applyFont="1" applyFill="1" applyBorder="1" applyProtection="1">
      <protection locked="0"/>
    </xf>
    <xf numFmtId="0" fontId="35" fillId="9" borderId="51" xfId="0" applyFont="1" applyFill="1" applyBorder="1"/>
    <xf numFmtId="38" fontId="35" fillId="0" borderId="29" xfId="3" applyFont="1" applyFill="1" applyBorder="1" applyProtection="1">
      <protection locked="0"/>
    </xf>
    <xf numFmtId="38" fontId="35" fillId="0" borderId="10" xfId="3" applyFont="1" applyFill="1" applyBorder="1" applyProtection="1">
      <protection locked="0"/>
    </xf>
    <xf numFmtId="0" fontId="35" fillId="2" borderId="52" xfId="0" applyFont="1" applyFill="1" applyBorder="1" applyAlignment="1">
      <alignment horizontal="centerContinuous"/>
    </xf>
    <xf numFmtId="0" fontId="35" fillId="2" borderId="53" xfId="0" applyFont="1" applyFill="1" applyBorder="1" applyAlignment="1">
      <alignment horizontal="centerContinuous"/>
    </xf>
    <xf numFmtId="0" fontId="35" fillId="2" borderId="53" xfId="0" applyFont="1" applyFill="1" applyBorder="1"/>
    <xf numFmtId="38" fontId="35" fillId="2" borderId="33" xfId="0" applyNumberFormat="1" applyFont="1" applyFill="1" applyBorder="1"/>
    <xf numFmtId="38" fontId="35" fillId="2" borderId="26" xfId="3" applyFont="1" applyFill="1" applyBorder="1"/>
    <xf numFmtId="0" fontId="35" fillId="0" borderId="2" xfId="0" applyFont="1" applyBorder="1"/>
    <xf numFmtId="38" fontId="35" fillId="0" borderId="2" xfId="0" applyNumberFormat="1" applyFont="1" applyBorder="1"/>
    <xf numFmtId="0" fontId="38" fillId="10" borderId="0" xfId="0" applyFont="1" applyFill="1" applyAlignment="1"/>
    <xf numFmtId="0" fontId="38" fillId="10" borderId="0" xfId="0" applyFont="1" applyFill="1" applyAlignment="1">
      <alignment horizontal="center"/>
    </xf>
    <xf numFmtId="179" fontId="38" fillId="10" borderId="0" xfId="0" applyNumberFormat="1" applyFont="1" applyFill="1" applyAlignment="1">
      <alignment horizontal="center"/>
    </xf>
    <xf numFmtId="57" fontId="35" fillId="3" borderId="0" xfId="0" applyNumberFormat="1" applyFont="1" applyFill="1" applyAlignment="1">
      <alignment horizontal="center"/>
    </xf>
    <xf numFmtId="0" fontId="35" fillId="2" borderId="0" xfId="0" applyFont="1" applyFill="1" applyAlignment="1"/>
    <xf numFmtId="0" fontId="35" fillId="2" borderId="0" xfId="0" applyFont="1" applyFill="1" applyAlignment="1">
      <alignment horizontal="center"/>
    </xf>
    <xf numFmtId="0" fontId="35" fillId="2" borderId="0" xfId="0" applyFont="1" applyFill="1"/>
    <xf numFmtId="0" fontId="35" fillId="2" borderId="50" xfId="0" applyFont="1" applyFill="1" applyBorder="1" applyAlignment="1">
      <alignment horizontal="center"/>
    </xf>
    <xf numFmtId="38" fontId="35" fillId="4" borderId="23" xfId="3" applyFont="1" applyFill="1" applyBorder="1" applyProtection="1">
      <protection locked="0"/>
    </xf>
    <xf numFmtId="0" fontId="35" fillId="2" borderId="0" xfId="0" applyFont="1" applyFill="1" applyBorder="1" applyAlignment="1">
      <alignment horizontal="center"/>
    </xf>
    <xf numFmtId="0" fontId="35" fillId="2" borderId="0" xfId="0" applyFont="1" applyFill="1" applyBorder="1"/>
    <xf numFmtId="38" fontId="35" fillId="2" borderId="30" xfId="3" applyFont="1" applyFill="1" applyBorder="1" applyProtection="1">
      <protection locked="0"/>
    </xf>
    <xf numFmtId="0" fontId="35" fillId="0" borderId="0" xfId="0" applyFont="1" applyProtection="1">
      <protection locked="0"/>
    </xf>
    <xf numFmtId="0" fontId="34" fillId="0" borderId="0" xfId="0" applyFont="1"/>
    <xf numFmtId="0" fontId="35" fillId="2" borderId="0" xfId="0" applyFont="1" applyFill="1" applyAlignment="1">
      <alignment horizontal="right"/>
    </xf>
    <xf numFmtId="38" fontId="35" fillId="4" borderId="25" xfId="3" applyNumberFormat="1" applyFont="1" applyFill="1" applyBorder="1" applyProtection="1">
      <protection locked="0"/>
    </xf>
    <xf numFmtId="38" fontId="35" fillId="2" borderId="2" xfId="3" applyFont="1" applyFill="1" applyBorder="1" applyProtection="1">
      <protection locked="0"/>
    </xf>
    <xf numFmtId="38" fontId="35" fillId="0" borderId="37" xfId="3" applyFont="1" applyFill="1" applyBorder="1" applyProtection="1">
      <protection locked="0"/>
    </xf>
    <xf numFmtId="9" fontId="35" fillId="4" borderId="5" xfId="1" applyFont="1" applyFill="1" applyBorder="1" applyProtection="1">
      <protection locked="0"/>
    </xf>
    <xf numFmtId="38" fontId="35" fillId="0" borderId="17" xfId="3" applyNumberFormat="1" applyFont="1" applyFill="1" applyBorder="1" applyProtection="1">
      <protection locked="0"/>
    </xf>
    <xf numFmtId="38" fontId="35" fillId="0" borderId="0" xfId="3" applyFont="1" applyProtection="1">
      <protection locked="0"/>
    </xf>
    <xf numFmtId="38" fontId="35" fillId="5" borderId="46" xfId="3" applyFont="1" applyFill="1" applyBorder="1" applyProtection="1">
      <protection locked="0"/>
    </xf>
    <xf numFmtId="38" fontId="35" fillId="2" borderId="47" xfId="3" applyFont="1" applyFill="1" applyBorder="1" applyProtection="1">
      <protection locked="0"/>
    </xf>
    <xf numFmtId="38" fontId="35" fillId="0" borderId="37" xfId="3" applyFont="1" applyBorder="1" applyProtection="1">
      <protection locked="0"/>
    </xf>
    <xf numFmtId="0" fontId="35" fillId="0" borderId="30" xfId="0" applyFont="1" applyBorder="1" applyProtection="1">
      <protection locked="0"/>
    </xf>
    <xf numFmtId="0" fontId="39" fillId="11" borderId="55" xfId="0" applyFont="1" applyFill="1" applyBorder="1"/>
    <xf numFmtId="0" fontId="39" fillId="11" borderId="56" xfId="0" applyFont="1" applyFill="1" applyBorder="1"/>
    <xf numFmtId="0" fontId="35" fillId="0" borderId="57" xfId="0" applyFont="1" applyBorder="1"/>
    <xf numFmtId="0" fontId="35" fillId="0" borderId="58" xfId="0" applyFont="1" applyBorder="1"/>
    <xf numFmtId="0" fontId="35" fillId="0" borderId="10" xfId="0" applyFont="1" applyBorder="1"/>
    <xf numFmtId="0" fontId="35" fillId="0" borderId="45" xfId="0" applyFont="1" applyFill="1" applyBorder="1" applyProtection="1">
      <protection locked="0"/>
    </xf>
    <xf numFmtId="0" fontId="35" fillId="2" borderId="59" xfId="0" applyFont="1" applyFill="1" applyBorder="1" applyAlignment="1">
      <alignment horizontal="center"/>
    </xf>
    <xf numFmtId="38" fontId="35" fillId="0" borderId="60" xfId="3" applyFont="1" applyBorder="1"/>
    <xf numFmtId="0" fontId="35" fillId="0" borderId="29" xfId="0" applyFont="1" applyFill="1" applyBorder="1" applyProtection="1">
      <protection locked="0"/>
    </xf>
    <xf numFmtId="0" fontId="35" fillId="0" borderId="3" xfId="0" applyFont="1" applyBorder="1"/>
    <xf numFmtId="0" fontId="40" fillId="11" borderId="0" xfId="0" applyFont="1" applyFill="1"/>
    <xf numFmtId="0" fontId="41" fillId="11" borderId="0" xfId="0" applyFont="1" applyFill="1"/>
    <xf numFmtId="38" fontId="41" fillId="11" borderId="0" xfId="0" applyNumberFormat="1" applyFont="1" applyFill="1" applyAlignment="1">
      <alignment horizontal="center"/>
    </xf>
    <xf numFmtId="0" fontId="40" fillId="12" borderId="0" xfId="0" applyFont="1" applyFill="1" applyAlignment="1">
      <alignment horizontal="center"/>
    </xf>
    <xf numFmtId="0" fontId="35" fillId="12" borderId="0" xfId="0" applyFont="1" applyFill="1"/>
    <xf numFmtId="0" fontId="41" fillId="12" borderId="0" xfId="0" applyFont="1" applyFill="1" applyAlignment="1">
      <alignment horizontal="center"/>
    </xf>
    <xf numFmtId="0" fontId="35" fillId="12" borderId="0" xfId="0" applyFont="1" applyFill="1" applyBorder="1"/>
    <xf numFmtId="0" fontId="35" fillId="12" borderId="61" xfId="0" applyFont="1" applyFill="1" applyBorder="1"/>
    <xf numFmtId="0" fontId="41" fillId="0" borderId="0" xfId="0" applyFont="1" applyFill="1" applyAlignment="1">
      <alignment horizontal="center"/>
    </xf>
    <xf numFmtId="49" fontId="35" fillId="0" borderId="0" xfId="0" applyNumberFormat="1" applyFont="1" applyAlignment="1">
      <alignment horizontal="right"/>
    </xf>
    <xf numFmtId="38" fontId="42" fillId="4" borderId="0" xfId="3" applyFont="1" applyFill="1"/>
    <xf numFmtId="38" fontId="35" fillId="4" borderId="0" xfId="0" applyNumberFormat="1" applyFont="1" applyFill="1"/>
    <xf numFmtId="38" fontId="35" fillId="4" borderId="62" xfId="3" applyFont="1" applyFill="1" applyBorder="1"/>
    <xf numFmtId="38" fontId="35" fillId="4" borderId="0" xfId="3" applyFont="1" applyFill="1"/>
    <xf numFmtId="38" fontId="35" fillId="4" borderId="0" xfId="3" applyFont="1" applyFill="1" applyBorder="1"/>
    <xf numFmtId="38" fontId="34" fillId="4" borderId="50" xfId="0" applyNumberFormat="1" applyFont="1" applyFill="1" applyBorder="1"/>
    <xf numFmtId="38" fontId="35" fillId="0" borderId="2" xfId="3" applyFont="1" applyBorder="1"/>
    <xf numFmtId="38" fontId="35" fillId="0" borderId="0" xfId="0" applyNumberFormat="1" applyFont="1" applyProtection="1">
      <protection hidden="1"/>
    </xf>
    <xf numFmtId="38" fontId="35" fillId="4" borderId="0" xfId="0" applyNumberFormat="1" applyFont="1" applyFill="1" applyBorder="1"/>
    <xf numFmtId="38" fontId="35" fillId="4" borderId="28" xfId="0" applyNumberFormat="1" applyFont="1" applyFill="1" applyBorder="1"/>
    <xf numFmtId="0" fontId="45" fillId="2" borderId="37" xfId="0" applyFont="1" applyFill="1" applyBorder="1" applyAlignment="1">
      <alignment horizontal="center"/>
    </xf>
    <xf numFmtId="0" fontId="45" fillId="2" borderId="38" xfId="0" applyFont="1" applyFill="1" applyBorder="1" applyAlignment="1">
      <alignment horizontal="center"/>
    </xf>
    <xf numFmtId="0" fontId="46" fillId="0" borderId="0" xfId="0" applyFont="1" applyBorder="1" applyAlignment="1">
      <alignment horizontal="center"/>
    </xf>
    <xf numFmtId="178" fontId="47" fillId="0" borderId="0" xfId="0" applyNumberFormat="1" applyFont="1" applyAlignment="1">
      <alignment horizontal="center"/>
    </xf>
    <xf numFmtId="0" fontId="45" fillId="0" borderId="0" xfId="0" applyFont="1"/>
    <xf numFmtId="0" fontId="45" fillId="5" borderId="11" xfId="0" applyFont="1" applyFill="1" applyBorder="1" applyAlignment="1">
      <alignment horizontal="center"/>
    </xf>
    <xf numFmtId="0" fontId="45" fillId="4" borderId="8" xfId="0" applyFont="1" applyFill="1" applyBorder="1"/>
    <xf numFmtId="0" fontId="45" fillId="4" borderId="7" xfId="0" applyFont="1" applyFill="1" applyBorder="1"/>
    <xf numFmtId="0" fontId="45" fillId="5" borderId="22" xfId="0" applyFont="1" applyFill="1" applyBorder="1" applyAlignment="1">
      <alignment horizontal="center"/>
    </xf>
    <xf numFmtId="0" fontId="45" fillId="5" borderId="12" xfId="0" applyFont="1" applyFill="1" applyBorder="1" applyAlignment="1">
      <alignment horizontal="center"/>
    </xf>
    <xf numFmtId="56" fontId="45" fillId="0" borderId="0" xfId="0" applyNumberFormat="1" applyFont="1"/>
    <xf numFmtId="0" fontId="45" fillId="2" borderId="1" xfId="0" applyFont="1" applyFill="1" applyBorder="1" applyAlignment="1">
      <alignment horizontal="center"/>
    </xf>
    <xf numFmtId="38" fontId="45" fillId="2" borderId="2" xfId="3" applyFont="1" applyFill="1" applyBorder="1"/>
    <xf numFmtId="38" fontId="45" fillId="3" borderId="17" xfId="3" applyFont="1" applyFill="1" applyBorder="1" applyProtection="1">
      <protection locked="0"/>
    </xf>
    <xf numFmtId="38" fontId="45" fillId="3" borderId="29" xfId="3" applyFont="1" applyFill="1" applyBorder="1" applyProtection="1">
      <protection locked="0"/>
    </xf>
    <xf numFmtId="0" fontId="45" fillId="4" borderId="0" xfId="0" applyFont="1" applyFill="1"/>
    <xf numFmtId="0" fontId="45" fillId="5" borderId="1" xfId="0" applyFont="1" applyFill="1" applyBorder="1" applyAlignment="1">
      <alignment horizontal="center"/>
    </xf>
    <xf numFmtId="0" fontId="45" fillId="2" borderId="4" xfId="0" applyFont="1" applyFill="1" applyBorder="1" applyAlignment="1">
      <alignment horizontal="center"/>
    </xf>
    <xf numFmtId="38" fontId="45" fillId="2" borderId="30" xfId="3" applyFont="1" applyFill="1" applyBorder="1"/>
    <xf numFmtId="38" fontId="45" fillId="2" borderId="5" xfId="3" applyFont="1" applyFill="1" applyBorder="1"/>
    <xf numFmtId="0" fontId="45" fillId="5" borderId="24" xfId="0" applyFont="1" applyFill="1" applyBorder="1" applyAlignment="1">
      <alignment horizontal="center"/>
    </xf>
    <xf numFmtId="38" fontId="45" fillId="4" borderId="46" xfId="3" applyFont="1" applyFill="1" applyBorder="1" applyProtection="1"/>
    <xf numFmtId="38" fontId="45" fillId="4" borderId="45" xfId="3" applyFont="1" applyFill="1" applyBorder="1" applyProtection="1"/>
    <xf numFmtId="38" fontId="45" fillId="4" borderId="29" xfId="3" applyFont="1" applyFill="1" applyBorder="1" applyProtection="1"/>
    <xf numFmtId="0" fontId="45" fillId="0" borderId="36" xfId="0" applyFont="1" applyBorder="1" applyAlignment="1">
      <alignment horizontal="center"/>
    </xf>
    <xf numFmtId="38" fontId="45" fillId="4" borderId="37" xfId="3" applyFont="1" applyFill="1" applyBorder="1" applyProtection="1"/>
    <xf numFmtId="38" fontId="45" fillId="4" borderId="38" xfId="3" applyFont="1" applyFill="1" applyBorder="1" applyProtection="1"/>
    <xf numFmtId="0" fontId="45" fillId="0" borderId="4" xfId="0" applyFont="1" applyBorder="1" applyAlignment="1">
      <alignment horizontal="center"/>
    </xf>
    <xf numFmtId="38" fontId="45" fillId="3" borderId="30" xfId="3" applyFont="1" applyFill="1" applyBorder="1" applyProtection="1"/>
    <xf numFmtId="0" fontId="45" fillId="3" borderId="30" xfId="0" applyFont="1" applyFill="1" applyBorder="1" applyProtection="1"/>
    <xf numFmtId="38" fontId="45" fillId="4" borderId="17" xfId="3" applyFont="1" applyFill="1" applyBorder="1" applyProtection="1"/>
    <xf numFmtId="38" fontId="46" fillId="3" borderId="45" xfId="3" applyFont="1" applyFill="1" applyBorder="1" applyProtection="1">
      <protection locked="0"/>
    </xf>
    <xf numFmtId="0" fontId="46" fillId="0" borderId="0" xfId="0" applyFont="1"/>
    <xf numFmtId="38" fontId="45" fillId="3" borderId="45" xfId="3" applyFont="1" applyFill="1" applyBorder="1" applyProtection="1"/>
    <xf numFmtId="0" fontId="45" fillId="0" borderId="0" xfId="0" applyFont="1" applyAlignment="1">
      <alignment horizontal="center"/>
    </xf>
    <xf numFmtId="38" fontId="45" fillId="0" borderId="0" xfId="3" applyFont="1"/>
    <xf numFmtId="0" fontId="45" fillId="2" borderId="27" xfId="0" applyFont="1" applyFill="1" applyBorder="1" applyAlignment="1">
      <alignment horizontal="center"/>
    </xf>
    <xf numFmtId="38" fontId="45" fillId="2" borderId="47" xfId="3" applyFont="1" applyFill="1" applyBorder="1"/>
    <xf numFmtId="38" fontId="45" fillId="2" borderId="26" xfId="3" applyFont="1" applyFill="1" applyBorder="1"/>
    <xf numFmtId="0" fontId="45" fillId="4" borderId="65" xfId="0" applyFont="1" applyFill="1" applyBorder="1" applyAlignment="1">
      <alignment horizontal="centerContinuous"/>
    </xf>
    <xf numFmtId="0" fontId="45" fillId="4" borderId="66" xfId="0" applyFont="1" applyFill="1" applyBorder="1" applyAlignment="1">
      <alignment horizontal="centerContinuous"/>
    </xf>
    <xf numFmtId="0" fontId="45" fillId="4" borderId="67" xfId="0" applyFont="1" applyFill="1" applyBorder="1" applyAlignment="1">
      <alignment horizontal="centerContinuous"/>
    </xf>
    <xf numFmtId="0" fontId="45" fillId="0" borderId="2" xfId="0" applyFont="1" applyBorder="1" applyAlignment="1">
      <alignment horizontal="center"/>
    </xf>
    <xf numFmtId="38" fontId="45" fillId="0" borderId="2" xfId="0" applyNumberFormat="1" applyFont="1" applyBorder="1"/>
    <xf numFmtId="38" fontId="45" fillId="13" borderId="2" xfId="3" applyFont="1" applyFill="1" applyBorder="1"/>
    <xf numFmtId="0" fontId="45" fillId="0" borderId="0" xfId="0" applyFont="1" applyBorder="1" applyAlignment="1">
      <alignment horizontal="center"/>
    </xf>
    <xf numFmtId="38" fontId="45" fillId="0" borderId="0" xfId="0" applyNumberFormat="1" applyFont="1" applyBorder="1"/>
    <xf numFmtId="0" fontId="47" fillId="0" borderId="0" xfId="0" applyFont="1"/>
    <xf numFmtId="0" fontId="45" fillId="0" borderId="0" xfId="0" applyFont="1" applyAlignment="1">
      <alignment horizontal="left"/>
    </xf>
    <xf numFmtId="0" fontId="45" fillId="0" borderId="2" xfId="0" applyFont="1" applyFill="1" applyBorder="1" applyAlignment="1">
      <alignment horizontal="center"/>
    </xf>
    <xf numFmtId="178" fontId="48" fillId="2" borderId="20" xfId="0" applyNumberFormat="1" applyFont="1" applyFill="1" applyBorder="1" applyAlignment="1" applyProtection="1">
      <alignment horizontal="centerContinuous"/>
    </xf>
    <xf numFmtId="0" fontId="48" fillId="2" borderId="32" xfId="0" applyFont="1" applyFill="1" applyBorder="1" applyAlignment="1" applyProtection="1">
      <alignment horizontal="centerContinuous"/>
    </xf>
    <xf numFmtId="178" fontId="48" fillId="2" borderId="32" xfId="0" applyNumberFormat="1" applyFont="1" applyFill="1" applyBorder="1" applyAlignment="1" applyProtection="1">
      <alignment horizontal="centerContinuous"/>
    </xf>
    <xf numFmtId="0" fontId="49" fillId="2" borderId="52" xfId="0" applyFont="1" applyFill="1" applyBorder="1" applyAlignment="1" applyProtection="1">
      <alignment horizontal="centerContinuous"/>
    </xf>
    <xf numFmtId="0" fontId="49" fillId="2" borderId="33" xfId="0" applyFont="1" applyFill="1" applyBorder="1" applyAlignment="1" applyProtection="1">
      <alignment horizontal="centerContinuous"/>
    </xf>
    <xf numFmtId="0" fontId="49" fillId="2" borderId="48" xfId="0" applyFont="1" applyFill="1" applyBorder="1" applyAlignment="1" applyProtection="1">
      <alignment horizontal="centerContinuous"/>
    </xf>
    <xf numFmtId="0" fontId="49" fillId="2" borderId="38" xfId="0" applyFont="1" applyFill="1" applyBorder="1" applyAlignment="1" applyProtection="1">
      <alignment horizontal="centerContinuous"/>
    </xf>
    <xf numFmtId="0" fontId="2" fillId="5" borderId="11" xfId="0" applyFont="1" applyFill="1" applyBorder="1" applyAlignment="1" applyProtection="1">
      <alignment horizontal="center"/>
    </xf>
    <xf numFmtId="38" fontId="2" fillId="5" borderId="9" xfId="3" applyFont="1" applyFill="1" applyBorder="1" applyProtection="1"/>
    <xf numFmtId="0" fontId="2" fillId="5" borderId="22" xfId="0" applyFont="1" applyFill="1" applyBorder="1" applyAlignment="1" applyProtection="1">
      <alignment horizontal="center"/>
    </xf>
    <xf numFmtId="38" fontId="2" fillId="5" borderId="23" xfId="3" applyFont="1" applyFill="1" applyBorder="1" applyProtection="1"/>
    <xf numFmtId="0" fontId="2" fillId="5" borderId="12" xfId="0" applyFont="1" applyFill="1" applyBorder="1" applyAlignment="1" applyProtection="1">
      <alignment horizontal="center"/>
    </xf>
    <xf numFmtId="38" fontId="2" fillId="5" borderId="10" xfId="3" applyFont="1" applyFill="1" applyBorder="1" applyProtection="1"/>
    <xf numFmtId="0" fontId="2" fillId="2" borderId="1" xfId="0" applyFont="1" applyFill="1" applyBorder="1" applyAlignment="1" applyProtection="1">
      <alignment horizontal="center"/>
    </xf>
    <xf numFmtId="38" fontId="2" fillId="2" borderId="3" xfId="3" applyFont="1" applyFill="1" applyBorder="1" applyProtection="1"/>
    <xf numFmtId="0" fontId="2" fillId="5" borderId="1" xfId="0" applyFont="1" applyFill="1" applyBorder="1" applyAlignment="1" applyProtection="1">
      <alignment horizontal="center"/>
    </xf>
    <xf numFmtId="38" fontId="2" fillId="5" borderId="3" xfId="3" applyFont="1" applyFill="1" applyBorder="1" applyProtection="1"/>
    <xf numFmtId="0" fontId="2" fillId="2" borderId="4" xfId="0" applyFont="1" applyFill="1" applyBorder="1" applyAlignment="1" applyProtection="1">
      <alignment horizontal="center"/>
    </xf>
    <xf numFmtId="38" fontId="2" fillId="2" borderId="5" xfId="3" applyFont="1" applyFill="1" applyBorder="1" applyProtection="1"/>
    <xf numFmtId="0" fontId="2" fillId="5" borderId="24" xfId="0" applyFont="1" applyFill="1" applyBorder="1" applyAlignment="1" applyProtection="1">
      <alignment horizontal="center"/>
    </xf>
    <xf numFmtId="38" fontId="2" fillId="5" borderId="25" xfId="3" applyFont="1" applyFill="1" applyBorder="1" applyProtection="1"/>
    <xf numFmtId="0" fontId="2" fillId="0" borderId="0" xfId="0" applyFont="1" applyAlignment="1" applyProtection="1">
      <alignment horizontal="center"/>
    </xf>
    <xf numFmtId="38" fontId="2" fillId="0" borderId="0" xfId="3" applyFont="1" applyProtection="1"/>
    <xf numFmtId="0" fontId="2" fillId="2" borderId="27" xfId="0" applyFont="1" applyFill="1" applyBorder="1" applyAlignment="1" applyProtection="1">
      <alignment horizontal="center"/>
    </xf>
    <xf numFmtId="38" fontId="2" fillId="2" borderId="26" xfId="3" applyFont="1" applyFill="1" applyBorder="1" applyProtection="1"/>
    <xf numFmtId="38" fontId="45" fillId="4" borderId="9" xfId="3" applyFont="1" applyFill="1" applyBorder="1" applyProtection="1"/>
    <xf numFmtId="38" fontId="45" fillId="4" borderId="23" xfId="3" applyFont="1" applyFill="1" applyBorder="1" applyProtection="1"/>
    <xf numFmtId="38" fontId="45" fillId="4" borderId="10" xfId="3" applyFont="1" applyFill="1" applyBorder="1" applyProtection="1"/>
    <xf numFmtId="38" fontId="45" fillId="2" borderId="3" xfId="3" applyFont="1" applyFill="1" applyBorder="1" applyProtection="1"/>
    <xf numFmtId="38" fontId="45" fillId="4" borderId="3" xfId="3" applyFont="1" applyFill="1" applyBorder="1" applyProtection="1"/>
    <xf numFmtId="38" fontId="45" fillId="2" borderId="5" xfId="3" applyFont="1" applyFill="1" applyBorder="1" applyProtection="1"/>
    <xf numFmtId="0" fontId="45" fillId="0" borderId="0" xfId="0" applyFont="1" applyProtection="1"/>
    <xf numFmtId="38" fontId="45" fillId="4" borderId="25" xfId="3" applyFont="1" applyFill="1" applyBorder="1" applyProtection="1"/>
    <xf numFmtId="38" fontId="45" fillId="4" borderId="5" xfId="3" applyFont="1" applyFill="1" applyBorder="1" applyProtection="1"/>
    <xf numFmtId="38" fontId="46" fillId="4" borderId="23" xfId="3" applyFont="1" applyFill="1" applyBorder="1" applyProtection="1"/>
    <xf numFmtId="0" fontId="50" fillId="11" borderId="32" xfId="0" applyFont="1" applyFill="1" applyBorder="1"/>
    <xf numFmtId="0" fontId="51" fillId="0" borderId="0" xfId="0" applyFont="1"/>
    <xf numFmtId="58" fontId="52" fillId="0" borderId="0" xfId="2" applyNumberFormat="1" applyFont="1" applyAlignment="1" applyProtection="1"/>
    <xf numFmtId="0" fontId="45" fillId="0" borderId="0" xfId="0" applyFont="1" applyBorder="1"/>
    <xf numFmtId="0" fontId="45" fillId="0" borderId="0" xfId="0" applyFont="1" applyBorder="1" applyAlignment="1">
      <alignment horizontal="right"/>
    </xf>
    <xf numFmtId="38" fontId="45" fillId="0" borderId="2" xfId="3" applyFont="1" applyBorder="1" applyProtection="1">
      <protection locked="0"/>
    </xf>
    <xf numFmtId="176" fontId="45" fillId="0" borderId="2" xfId="1" applyNumberFormat="1" applyFont="1" applyBorder="1" applyProtection="1">
      <protection locked="0"/>
    </xf>
    <xf numFmtId="0" fontId="45" fillId="0" borderId="2" xfId="0" applyFont="1" applyBorder="1" applyProtection="1">
      <protection locked="0"/>
    </xf>
    <xf numFmtId="176" fontId="45" fillId="0" borderId="0" xfId="1" applyNumberFormat="1" applyFont="1" applyAlignment="1">
      <alignment horizontal="right"/>
    </xf>
    <xf numFmtId="0" fontId="45" fillId="0" borderId="0" xfId="0" applyFont="1" applyAlignment="1">
      <alignment horizontal="right"/>
    </xf>
    <xf numFmtId="0" fontId="45" fillId="2" borderId="36" xfId="0" applyFont="1" applyFill="1" applyBorder="1" applyAlignment="1">
      <alignment horizontal="center"/>
    </xf>
    <xf numFmtId="0" fontId="45" fillId="2" borderId="43" xfId="0" applyFont="1" applyFill="1" applyBorder="1" applyAlignment="1">
      <alignment horizontal="center"/>
    </xf>
    <xf numFmtId="0" fontId="45" fillId="0" borderId="68" xfId="0" applyFont="1" applyBorder="1" applyAlignment="1">
      <alignment horizontal="right"/>
    </xf>
    <xf numFmtId="38" fontId="45" fillId="4" borderId="69" xfId="3" applyFont="1" applyFill="1" applyBorder="1" applyProtection="1">
      <protection locked="0"/>
    </xf>
    <xf numFmtId="38" fontId="45" fillId="4" borderId="70" xfId="3" applyFont="1" applyFill="1" applyBorder="1"/>
    <xf numFmtId="0" fontId="45" fillId="0" borderId="12" xfId="0" applyFont="1" applyBorder="1" applyAlignment="1">
      <alignment horizontal="right"/>
    </xf>
    <xf numFmtId="38" fontId="45" fillId="0" borderId="29" xfId="3" applyFont="1" applyBorder="1" applyProtection="1">
      <protection locked="0"/>
    </xf>
    <xf numFmtId="38" fontId="45" fillId="0" borderId="29" xfId="3" applyFont="1" applyBorder="1"/>
    <xf numFmtId="38" fontId="45" fillId="0" borderId="10" xfId="0" applyNumberFormat="1" applyFont="1" applyBorder="1"/>
    <xf numFmtId="0" fontId="45" fillId="4" borderId="36" xfId="0" applyFont="1" applyFill="1" applyBorder="1"/>
    <xf numFmtId="0" fontId="45" fillId="9" borderId="37" xfId="0" applyFont="1" applyFill="1" applyBorder="1"/>
    <xf numFmtId="38" fontId="45" fillId="9" borderId="38" xfId="3" applyFont="1" applyFill="1" applyBorder="1"/>
    <xf numFmtId="0" fontId="45" fillId="0" borderId="1" xfId="0" applyFont="1" applyBorder="1" applyAlignment="1">
      <alignment horizontal="right"/>
    </xf>
    <xf numFmtId="0" fontId="45" fillId="0" borderId="3" xfId="0" applyFont="1" applyBorder="1"/>
    <xf numFmtId="0" fontId="45" fillId="4" borderId="1" xfId="0" applyFont="1" applyFill="1" applyBorder="1"/>
    <xf numFmtId="0" fontId="45" fillId="9" borderId="2" xfId="0" applyFont="1" applyFill="1" applyBorder="1"/>
    <xf numFmtId="38" fontId="45" fillId="9" borderId="3" xfId="3" applyFont="1" applyFill="1" applyBorder="1"/>
    <xf numFmtId="0" fontId="45" fillId="0" borderId="4" xfId="0" applyFont="1" applyBorder="1" applyAlignment="1">
      <alignment horizontal="right"/>
    </xf>
    <xf numFmtId="38" fontId="45" fillId="4" borderId="30" xfId="3" applyFont="1" applyFill="1" applyBorder="1"/>
    <xf numFmtId="38" fontId="45" fillId="4" borderId="5" xfId="0" applyNumberFormat="1" applyFont="1" applyFill="1" applyBorder="1"/>
    <xf numFmtId="38" fontId="45" fillId="4" borderId="9" xfId="3" applyFont="1" applyFill="1" applyBorder="1" applyProtection="1">
      <protection locked="0"/>
    </xf>
    <xf numFmtId="38" fontId="45" fillId="4" borderId="45" xfId="3" applyFont="1" applyFill="1" applyBorder="1" applyProtection="1">
      <protection locked="0"/>
    </xf>
    <xf numFmtId="38" fontId="45" fillId="4" borderId="23" xfId="3" applyFont="1" applyFill="1" applyBorder="1" applyProtection="1">
      <protection locked="0"/>
    </xf>
    <xf numFmtId="38" fontId="45" fillId="4" borderId="72" xfId="3" applyFont="1" applyFill="1" applyBorder="1" applyProtection="1">
      <protection locked="0"/>
    </xf>
    <xf numFmtId="38" fontId="45" fillId="2" borderId="71" xfId="3" applyFont="1" applyFill="1" applyBorder="1"/>
    <xf numFmtId="38" fontId="45" fillId="4" borderId="73" xfId="3" applyNumberFormat="1" applyFont="1" applyFill="1" applyBorder="1" applyProtection="1">
      <protection locked="0"/>
    </xf>
    <xf numFmtId="38" fontId="45" fillId="4" borderId="25" xfId="3" applyFont="1" applyFill="1" applyBorder="1" applyProtection="1">
      <protection locked="0"/>
    </xf>
    <xf numFmtId="0" fontId="45" fillId="4" borderId="4" xfId="0" applyFont="1" applyFill="1" applyBorder="1"/>
    <xf numFmtId="0" fontId="45" fillId="14" borderId="30" xfId="0" applyFont="1" applyFill="1" applyBorder="1"/>
    <xf numFmtId="38" fontId="46" fillId="14" borderId="5" xfId="3" applyFont="1" applyFill="1" applyBorder="1"/>
    <xf numFmtId="0" fontId="51" fillId="0" borderId="0" xfId="0" applyFont="1" applyAlignment="1">
      <alignment horizontal="center"/>
    </xf>
    <xf numFmtId="38" fontId="45" fillId="4" borderId="64" xfId="3" applyFont="1" applyFill="1" applyBorder="1" applyProtection="1">
      <protection locked="0"/>
    </xf>
    <xf numFmtId="38" fontId="45" fillId="4" borderId="29" xfId="3" applyFont="1" applyFill="1" applyBorder="1" applyProtection="1">
      <protection locked="0"/>
    </xf>
    <xf numFmtId="38" fontId="45" fillId="4" borderId="10" xfId="3" applyFont="1" applyFill="1" applyBorder="1" applyProtection="1">
      <protection locked="0"/>
    </xf>
    <xf numFmtId="177" fontId="51" fillId="0" borderId="0" xfId="3" applyNumberFormat="1" applyFont="1"/>
    <xf numFmtId="0" fontId="51" fillId="0" borderId="0" xfId="0" quotePrefix="1" applyFont="1"/>
    <xf numFmtId="38" fontId="45" fillId="2" borderId="7" xfId="3" applyNumberFormat="1" applyFont="1" applyFill="1" applyBorder="1"/>
    <xf numFmtId="38" fontId="45" fillId="2" borderId="2" xfId="3" applyNumberFormat="1" applyFont="1" applyFill="1" applyBorder="1"/>
    <xf numFmtId="38" fontId="45" fillId="2" borderId="3" xfId="3" applyFont="1" applyFill="1" applyBorder="1"/>
    <xf numFmtId="38" fontId="45" fillId="4" borderId="43" xfId="3" applyFont="1" applyFill="1" applyBorder="1"/>
    <xf numFmtId="38" fontId="45" fillId="4" borderId="37" xfId="3" applyFont="1" applyFill="1" applyBorder="1"/>
    <xf numFmtId="38" fontId="45" fillId="4" borderId="38" xfId="3" applyFont="1" applyFill="1" applyBorder="1" applyProtection="1">
      <protection locked="0"/>
    </xf>
    <xf numFmtId="9" fontId="45" fillId="4" borderId="71" xfId="1" applyFont="1" applyFill="1" applyBorder="1" applyProtection="1">
      <protection locked="0"/>
    </xf>
    <xf numFmtId="9" fontId="45" fillId="4" borderId="30" xfId="1" applyFont="1" applyFill="1" applyBorder="1" applyProtection="1">
      <protection locked="0"/>
    </xf>
    <xf numFmtId="38" fontId="45" fillId="4" borderId="5" xfId="3" applyFont="1" applyFill="1" applyBorder="1" applyProtection="1">
      <protection locked="0"/>
    </xf>
    <xf numFmtId="38" fontId="45" fillId="4" borderId="74" xfId="3" applyNumberFormat="1" applyFont="1" applyFill="1" applyBorder="1" applyProtection="1">
      <protection locked="0"/>
    </xf>
    <xf numFmtId="0" fontId="54" fillId="0" borderId="0" xfId="0" applyFont="1"/>
    <xf numFmtId="38" fontId="45" fillId="2" borderId="75" xfId="3" applyFont="1" applyFill="1" applyBorder="1"/>
    <xf numFmtId="38" fontId="45" fillId="2" borderId="76" xfId="3" applyFont="1" applyFill="1" applyBorder="1"/>
    <xf numFmtId="38" fontId="45" fillId="2" borderId="26" xfId="3" applyNumberFormat="1" applyFont="1" applyFill="1" applyBorder="1"/>
    <xf numFmtId="38" fontId="51" fillId="0" borderId="0" xfId="0" applyNumberFormat="1" applyFont="1"/>
    <xf numFmtId="0" fontId="51" fillId="0" borderId="50" xfId="0" applyFont="1" applyFill="1" applyBorder="1"/>
    <xf numFmtId="0" fontId="55" fillId="0" borderId="29" xfId="0" applyFont="1" applyFill="1" applyBorder="1"/>
    <xf numFmtId="0" fontId="51" fillId="0" borderId="0" xfId="0" applyFont="1" applyFill="1"/>
    <xf numFmtId="0" fontId="51" fillId="0" borderId="2" xfId="0" applyFont="1" applyFill="1" applyBorder="1"/>
    <xf numFmtId="0" fontId="55" fillId="0" borderId="2" xfId="0" applyFont="1" applyFill="1" applyBorder="1"/>
    <xf numFmtId="0" fontId="54" fillId="0" borderId="2" xfId="0" applyFont="1" applyFill="1" applyBorder="1"/>
    <xf numFmtId="38" fontId="54" fillId="0" borderId="0" xfId="0" applyNumberFormat="1" applyFont="1" applyFill="1" applyAlignment="1">
      <alignment horizontal="center"/>
    </xf>
    <xf numFmtId="38" fontId="51" fillId="0" borderId="0" xfId="3" applyFont="1" applyFill="1"/>
    <xf numFmtId="0" fontId="51" fillId="3" borderId="0" xfId="0" applyFont="1" applyFill="1" applyAlignment="1">
      <alignment horizontal="centerContinuous"/>
    </xf>
    <xf numFmtId="0" fontId="51" fillId="15" borderId="2" xfId="0" applyFont="1" applyFill="1" applyBorder="1" applyAlignment="1">
      <alignment horizontal="center"/>
    </xf>
    <xf numFmtId="38" fontId="51" fillId="4" borderId="2" xfId="3" applyFont="1" applyFill="1" applyBorder="1"/>
    <xf numFmtId="38" fontId="51" fillId="15" borderId="2" xfId="3" applyFont="1" applyFill="1" applyBorder="1"/>
    <xf numFmtId="181" fontId="51" fillId="0" borderId="2" xfId="1" applyNumberFormat="1" applyFont="1" applyBorder="1"/>
    <xf numFmtId="176" fontId="51" fillId="0" borderId="2" xfId="1" applyNumberFormat="1" applyFont="1" applyBorder="1"/>
    <xf numFmtId="38" fontId="51" fillId="4" borderId="2" xfId="0" applyNumberFormat="1" applyFont="1" applyFill="1" applyBorder="1"/>
    <xf numFmtId="0" fontId="51" fillId="4" borderId="2" xfId="0" applyFont="1" applyFill="1" applyBorder="1" applyProtection="1">
      <protection locked="0"/>
    </xf>
    <xf numFmtId="0" fontId="45" fillId="0" borderId="2" xfId="0" applyFont="1" applyBorder="1"/>
    <xf numFmtId="0" fontId="45" fillId="0" borderId="29" xfId="0" applyFont="1" applyBorder="1"/>
    <xf numFmtId="38" fontId="45" fillId="0" borderId="29" xfId="0" applyNumberFormat="1" applyFont="1" applyBorder="1"/>
    <xf numFmtId="0" fontId="56" fillId="0" borderId="0" xfId="0" applyFont="1" applyAlignment="1">
      <alignment horizontal="center"/>
    </xf>
    <xf numFmtId="49" fontId="45" fillId="0" borderId="29" xfId="0" applyNumberFormat="1" applyFont="1" applyBorder="1"/>
    <xf numFmtId="49" fontId="45" fillId="0" borderId="2" xfId="0" applyNumberFormat="1" applyFont="1" applyBorder="1"/>
    <xf numFmtId="0" fontId="35" fillId="0" borderId="0" xfId="0" applyFont="1" applyFill="1" applyAlignment="1"/>
    <xf numFmtId="0" fontId="35" fillId="5" borderId="77" xfId="0" applyFont="1" applyFill="1" applyBorder="1" applyProtection="1">
      <protection locked="0"/>
    </xf>
    <xf numFmtId="0" fontId="35" fillId="0" borderId="78" xfId="0" applyFont="1" applyBorder="1"/>
    <xf numFmtId="0" fontId="35" fillId="0" borderId="79" xfId="0" applyFont="1" applyBorder="1"/>
    <xf numFmtId="0" fontId="45" fillId="0" borderId="2" xfId="0" applyFont="1" applyBorder="1" applyAlignment="1"/>
    <xf numFmtId="0" fontId="3" fillId="0" borderId="0" xfId="0" applyFont="1"/>
    <xf numFmtId="0" fontId="14" fillId="15" borderId="0" xfId="0" applyFont="1" applyFill="1" applyAlignment="1">
      <alignment horizontal="center"/>
    </xf>
    <xf numFmtId="0" fontId="3" fillId="3" borderId="1" xfId="0" applyFont="1" applyFill="1" applyBorder="1"/>
    <xf numFmtId="38" fontId="3" fillId="9" borderId="2" xfId="0" applyNumberFormat="1" applyFont="1" applyFill="1" applyBorder="1"/>
    <xf numFmtId="0" fontId="3" fillId="8" borderId="2" xfId="0" applyFont="1" applyFill="1" applyBorder="1"/>
    <xf numFmtId="0" fontId="3" fillId="3" borderId="2" xfId="0" applyFont="1" applyFill="1" applyBorder="1"/>
    <xf numFmtId="0" fontId="3" fillId="8" borderId="3" xfId="0" applyFont="1" applyFill="1" applyBorder="1"/>
    <xf numFmtId="0" fontId="17" fillId="0" borderId="0" xfId="0" applyFont="1"/>
    <xf numFmtId="0" fontId="3" fillId="9" borderId="2" xfId="0" applyFont="1" applyFill="1" applyBorder="1"/>
    <xf numFmtId="0" fontId="3" fillId="3" borderId="15" xfId="0" applyFont="1" applyFill="1" applyBorder="1"/>
    <xf numFmtId="38" fontId="3" fillId="3" borderId="21" xfId="0" applyNumberFormat="1" applyFont="1" applyFill="1" applyBorder="1"/>
    <xf numFmtId="0" fontId="3" fillId="8" borderId="21" xfId="0" applyFont="1" applyFill="1" applyBorder="1"/>
    <xf numFmtId="0" fontId="3" fillId="3" borderId="21" xfId="0" applyFont="1" applyFill="1" applyBorder="1"/>
    <xf numFmtId="0" fontId="3" fillId="8" borderId="16" xfId="0" applyFont="1" applyFill="1" applyBorder="1"/>
    <xf numFmtId="0" fontId="3" fillId="15" borderId="2" xfId="0" applyFont="1" applyFill="1" applyBorder="1" applyAlignment="1">
      <alignment horizontal="centerContinuous"/>
    </xf>
    <xf numFmtId="38" fontId="3" fillId="0" borderId="2" xfId="0" applyNumberFormat="1" applyFont="1" applyBorder="1"/>
    <xf numFmtId="0" fontId="46" fillId="0" borderId="0" xfId="0" applyFont="1" applyFill="1"/>
    <xf numFmtId="0" fontId="61" fillId="0" borderId="0" xfId="0" applyFont="1" applyAlignment="1">
      <alignment horizontal="center"/>
    </xf>
    <xf numFmtId="38" fontId="53" fillId="4" borderId="17" xfId="3" applyFont="1" applyFill="1" applyBorder="1" applyProtection="1">
      <protection locked="0"/>
    </xf>
    <xf numFmtId="0" fontId="62" fillId="0" borderId="0" xfId="0" applyFont="1"/>
    <xf numFmtId="38" fontId="62" fillId="0" borderId="0" xfId="3" applyFont="1"/>
    <xf numFmtId="0" fontId="61" fillId="5" borderId="11" xfId="0" applyFont="1" applyFill="1" applyBorder="1" applyAlignment="1">
      <alignment horizontal="center"/>
    </xf>
    <xf numFmtId="38" fontId="61" fillId="0" borderId="17" xfId="3" applyFont="1" applyFill="1" applyBorder="1" applyProtection="1">
      <protection locked="0"/>
    </xf>
    <xf numFmtId="38" fontId="61" fillId="0" borderId="3" xfId="3" applyFont="1" applyFill="1" applyBorder="1" applyProtection="1">
      <protection locked="0"/>
    </xf>
    <xf numFmtId="0" fontId="0" fillId="0" borderId="0" xfId="0" applyAlignment="1"/>
    <xf numFmtId="0" fontId="46" fillId="0" borderId="2" xfId="0" applyFont="1" applyBorder="1" applyAlignment="1">
      <alignment horizontal="center"/>
    </xf>
    <xf numFmtId="0" fontId="0" fillId="0" borderId="64" xfId="0" applyBorder="1" applyAlignment="1">
      <alignment horizontal="center"/>
    </xf>
    <xf numFmtId="0" fontId="63" fillId="0" borderId="0" xfId="0" applyFont="1" applyAlignment="1">
      <alignment horizontal="center"/>
    </xf>
    <xf numFmtId="182" fontId="35" fillId="3" borderId="0" xfId="0" applyNumberFormat="1" applyFont="1" applyFill="1" applyAlignment="1">
      <alignment horizontal="center"/>
    </xf>
    <xf numFmtId="38" fontId="45" fillId="0" borderId="0" xfId="0" applyNumberFormat="1" applyFont="1"/>
    <xf numFmtId="38" fontId="55" fillId="0" borderId="29" xfId="3" applyFont="1" applyFill="1" applyBorder="1"/>
    <xf numFmtId="38" fontId="51" fillId="0" borderId="2" xfId="3" applyFont="1" applyFill="1" applyBorder="1"/>
    <xf numFmtId="38" fontId="55" fillId="0" borderId="2" xfId="3" applyFont="1" applyFill="1" applyBorder="1"/>
    <xf numFmtId="0" fontId="64" fillId="0" borderId="0" xfId="0" applyFont="1" applyAlignment="1">
      <alignment horizontal="center"/>
    </xf>
    <xf numFmtId="181" fontId="4" fillId="0" borderId="2" xfId="1" applyNumberFormat="1" applyFont="1" applyBorder="1"/>
    <xf numFmtId="181" fontId="45" fillId="13" borderId="2" xfId="0" applyNumberFormat="1" applyFont="1" applyFill="1" applyBorder="1"/>
    <xf numFmtId="38" fontId="4" fillId="0" borderId="0" xfId="3" applyFont="1" applyBorder="1"/>
    <xf numFmtId="0" fontId="4" fillId="0" borderId="0" xfId="0" applyFont="1" applyBorder="1" applyAlignment="1">
      <alignment horizontal="center"/>
    </xf>
    <xf numFmtId="0" fontId="46" fillId="0" borderId="0" xfId="0" applyFont="1" applyAlignment="1">
      <alignment horizontal="center"/>
    </xf>
    <xf numFmtId="9" fontId="45" fillId="13" borderId="2" xfId="1" applyFont="1" applyFill="1" applyBorder="1"/>
    <xf numFmtId="0" fontId="66" fillId="0" borderId="0" xfId="0" applyFont="1" applyProtection="1"/>
    <xf numFmtId="0" fontId="66" fillId="0" borderId="0" xfId="0" applyFont="1" applyBorder="1" applyProtection="1"/>
    <xf numFmtId="0" fontId="67" fillId="0" borderId="0" xfId="0" applyFont="1"/>
    <xf numFmtId="0" fontId="68" fillId="0" borderId="0" xfId="0" applyFont="1" applyProtection="1"/>
    <xf numFmtId="0" fontId="68" fillId="0" borderId="0" xfId="0" applyFont="1"/>
    <xf numFmtId="0" fontId="45" fillId="0" borderId="0" xfId="0" applyNumberFormat="1" applyFont="1"/>
    <xf numFmtId="56" fontId="0" fillId="0" borderId="0" xfId="0" applyNumberFormat="1"/>
    <xf numFmtId="178" fontId="3" fillId="0" borderId="0" xfId="0" applyNumberFormat="1" applyFont="1" applyFill="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178" fontId="3" fillId="8" borderId="3" xfId="0" applyNumberFormat="1" applyFont="1" applyFill="1" applyBorder="1" applyAlignment="1">
      <alignment horizontal="center"/>
    </xf>
    <xf numFmtId="0" fontId="3" fillId="3" borderId="68" xfId="0" applyFont="1" applyFill="1" applyBorder="1"/>
    <xf numFmtId="0" fontId="3" fillId="9" borderId="69" xfId="0" applyFont="1" applyFill="1" applyBorder="1"/>
    <xf numFmtId="0" fontId="3" fillId="8" borderId="69" xfId="0" applyFont="1" applyFill="1" applyBorder="1"/>
    <xf numFmtId="0" fontId="3" fillId="3" borderId="69" xfId="0" applyFont="1" applyFill="1" applyBorder="1"/>
    <xf numFmtId="38" fontId="3" fillId="9" borderId="69" xfId="0" applyNumberFormat="1" applyFont="1" applyFill="1" applyBorder="1"/>
    <xf numFmtId="0" fontId="3" fillId="8" borderId="70" xfId="0" applyFont="1" applyFill="1" applyBorder="1"/>
    <xf numFmtId="38" fontId="45" fillId="18" borderId="2" xfId="3" applyFont="1" applyFill="1" applyBorder="1"/>
    <xf numFmtId="0" fontId="45" fillId="18" borderId="2" xfId="0" applyFont="1" applyFill="1" applyBorder="1" applyAlignment="1">
      <alignment horizontal="center"/>
    </xf>
    <xf numFmtId="38" fontId="45" fillId="18" borderId="2" xfId="0" applyNumberFormat="1" applyFont="1" applyFill="1" applyBorder="1"/>
    <xf numFmtId="0" fontId="45" fillId="19" borderId="2" xfId="0" applyFont="1" applyFill="1" applyBorder="1" applyAlignment="1">
      <alignment horizontal="center"/>
    </xf>
    <xf numFmtId="38" fontId="45" fillId="19" borderId="2" xfId="0" applyNumberFormat="1" applyFont="1" applyFill="1" applyBorder="1"/>
    <xf numFmtId="38" fontId="58" fillId="18" borderId="2" xfId="0" applyNumberFormat="1" applyFont="1" applyFill="1" applyBorder="1"/>
    <xf numFmtId="0" fontId="45" fillId="18" borderId="2" xfId="0" applyFont="1" applyFill="1" applyBorder="1"/>
    <xf numFmtId="0" fontId="45" fillId="18" borderId="27" xfId="0" applyFont="1" applyFill="1" applyBorder="1" applyAlignment="1"/>
    <xf numFmtId="38" fontId="45" fillId="18" borderId="26" xfId="3" applyFont="1" applyFill="1" applyBorder="1"/>
    <xf numFmtId="0" fontId="45" fillId="18" borderId="27" xfId="0" applyFont="1" applyFill="1" applyBorder="1"/>
    <xf numFmtId="0" fontId="45" fillId="18" borderId="26" xfId="0" applyFont="1" applyFill="1" applyBorder="1"/>
    <xf numFmtId="0" fontId="45" fillId="0" borderId="49" xfId="0" applyFont="1" applyFill="1" applyBorder="1"/>
    <xf numFmtId="0" fontId="69" fillId="20" borderId="0" xfId="0" applyFont="1" applyFill="1"/>
    <xf numFmtId="38" fontId="45" fillId="21" borderId="64" xfId="3" applyFont="1" applyFill="1" applyBorder="1"/>
    <xf numFmtId="38" fontId="45" fillId="21" borderId="2" xfId="0" applyNumberFormat="1" applyFont="1" applyFill="1" applyBorder="1"/>
    <xf numFmtId="38" fontId="45" fillId="21" borderId="2" xfId="3" applyFont="1" applyFill="1" applyBorder="1" applyProtection="1"/>
    <xf numFmtId="38" fontId="45" fillId="21" borderId="17" xfId="3" applyFont="1" applyFill="1" applyBorder="1" applyProtection="1"/>
    <xf numFmtId="38" fontId="45" fillId="21" borderId="45" xfId="3" applyFont="1" applyFill="1" applyBorder="1" applyProtection="1"/>
    <xf numFmtId="38" fontId="45" fillId="21" borderId="29" xfId="3" applyFont="1" applyFill="1" applyBorder="1" applyProtection="1"/>
    <xf numFmtId="0" fontId="46" fillId="0" borderId="22" xfId="0" applyFont="1" applyFill="1" applyBorder="1" applyAlignment="1">
      <alignment horizontal="center"/>
    </xf>
    <xf numFmtId="0" fontId="45" fillId="0" borderId="22" xfId="0" applyFont="1" applyFill="1" applyBorder="1" applyAlignment="1">
      <alignment horizontal="center"/>
    </xf>
    <xf numFmtId="0" fontId="45" fillId="0" borderId="12" xfId="0" applyFont="1" applyFill="1" applyBorder="1" applyAlignment="1">
      <alignment horizontal="center"/>
    </xf>
    <xf numFmtId="0" fontId="14" fillId="21" borderId="0" xfId="0" applyFont="1" applyFill="1" applyAlignment="1" applyProtection="1">
      <alignment horizontal="right"/>
      <protection locked="0"/>
    </xf>
    <xf numFmtId="180" fontId="17" fillId="21" borderId="2" xfId="0" applyNumberFormat="1" applyFont="1" applyFill="1" applyBorder="1" applyProtection="1">
      <protection locked="0"/>
    </xf>
    <xf numFmtId="0" fontId="0" fillId="21" borderId="2" xfId="0" applyFill="1" applyBorder="1" applyProtection="1">
      <protection locked="0"/>
    </xf>
    <xf numFmtId="14" fontId="0" fillId="21" borderId="2" xfId="0" applyNumberFormat="1" applyFill="1" applyBorder="1" applyAlignment="1" applyProtection="1">
      <alignment horizontal="center"/>
      <protection locked="0"/>
    </xf>
    <xf numFmtId="183" fontId="0" fillId="21" borderId="2" xfId="0" applyNumberFormat="1" applyFill="1" applyBorder="1" applyAlignment="1" applyProtection="1">
      <alignment horizontal="center"/>
      <protection locked="0"/>
    </xf>
    <xf numFmtId="0" fontId="0" fillId="21" borderId="2" xfId="0" applyFill="1" applyBorder="1" applyAlignment="1" applyProtection="1">
      <alignment horizontal="center"/>
      <protection locked="0"/>
    </xf>
    <xf numFmtId="49" fontId="0" fillId="21" borderId="2" xfId="0" applyNumberFormat="1" applyFill="1" applyBorder="1" applyProtection="1">
      <protection locked="0"/>
    </xf>
    <xf numFmtId="0" fontId="15" fillId="18" borderId="2" xfId="0" applyFont="1" applyFill="1" applyBorder="1" applyAlignment="1">
      <alignment horizontal="center"/>
    </xf>
    <xf numFmtId="0" fontId="0" fillId="18" borderId="2" xfId="0" applyFill="1" applyBorder="1" applyAlignment="1">
      <alignment horizontal="center"/>
    </xf>
    <xf numFmtId="0" fontId="0" fillId="18" borderId="8" xfId="0" applyFill="1" applyBorder="1"/>
    <xf numFmtId="0" fontId="0" fillId="18" borderId="6" xfId="0" applyFill="1" applyBorder="1"/>
    <xf numFmtId="0" fontId="0" fillId="18" borderId="7" xfId="0" applyFill="1" applyBorder="1"/>
    <xf numFmtId="0" fontId="0" fillId="18" borderId="6" xfId="0" applyFill="1" applyBorder="1" applyAlignment="1">
      <alignment horizontal="center"/>
    </xf>
    <xf numFmtId="0" fontId="35" fillId="18" borderId="0" xfId="0" applyFont="1" applyFill="1" applyAlignment="1"/>
    <xf numFmtId="0" fontId="35" fillId="18" borderId="0" xfId="0" applyFont="1" applyFill="1" applyAlignment="1">
      <alignment horizontal="right"/>
    </xf>
    <xf numFmtId="0" fontId="35" fillId="18" borderId="28" xfId="0" applyFont="1" applyFill="1" applyBorder="1"/>
    <xf numFmtId="0" fontId="35" fillId="18" borderId="0" xfId="0" applyFont="1" applyFill="1"/>
    <xf numFmtId="0" fontId="35" fillId="18" borderId="0" xfId="0" applyFont="1" applyFill="1" applyAlignment="1">
      <alignment horizontal="center"/>
    </xf>
    <xf numFmtId="38" fontId="35" fillId="18" borderId="0" xfId="0" applyNumberFormat="1" applyFont="1" applyFill="1"/>
    <xf numFmtId="0" fontId="57" fillId="18" borderId="0" xfId="0" applyFont="1" applyFill="1" applyAlignment="1"/>
    <xf numFmtId="0" fontId="35" fillId="18" borderId="0" xfId="0" applyFont="1" applyFill="1" applyBorder="1" applyAlignment="1"/>
    <xf numFmtId="0" fontId="35" fillId="18" borderId="0" xfId="0" applyFont="1" applyFill="1" applyAlignment="1">
      <alignment horizontal="centerContinuous"/>
    </xf>
    <xf numFmtId="0" fontId="35" fillId="21" borderId="63" xfId="0" applyFont="1" applyFill="1" applyBorder="1" applyProtection="1">
      <protection locked="0"/>
    </xf>
    <xf numFmtId="38" fontId="35" fillId="21" borderId="3" xfId="3" applyFont="1" applyFill="1" applyBorder="1"/>
    <xf numFmtId="38" fontId="35" fillId="21" borderId="5" xfId="3" applyFont="1" applyFill="1" applyBorder="1"/>
    <xf numFmtId="38" fontId="35" fillId="21" borderId="63" xfId="3" applyFont="1" applyFill="1" applyBorder="1" applyProtection="1">
      <protection locked="0"/>
    </xf>
    <xf numFmtId="38" fontId="35" fillId="18" borderId="50" xfId="0" applyNumberFormat="1" applyFont="1" applyFill="1" applyBorder="1"/>
    <xf numFmtId="0" fontId="35" fillId="18" borderId="50" xfId="0" applyFont="1" applyFill="1" applyBorder="1"/>
    <xf numFmtId="0" fontId="35" fillId="18" borderId="50" xfId="0" applyFont="1" applyFill="1" applyBorder="1" applyAlignment="1">
      <alignment horizontal="center"/>
    </xf>
    <xf numFmtId="57" fontId="35" fillId="18" borderId="0" xfId="0" applyNumberFormat="1" applyFont="1" applyFill="1" applyAlignment="1">
      <alignment horizontal="center"/>
    </xf>
    <xf numFmtId="0" fontId="34" fillId="21" borderId="54" xfId="0" applyFont="1" applyFill="1" applyBorder="1" applyAlignment="1">
      <alignment horizontal="center"/>
    </xf>
    <xf numFmtId="0" fontId="35" fillId="18" borderId="0" xfId="0" applyFont="1" applyFill="1" applyProtection="1">
      <protection locked="0"/>
    </xf>
    <xf numFmtId="57" fontId="35" fillId="18" borderId="0" xfId="0" applyNumberFormat="1" applyFont="1" applyFill="1" applyProtection="1">
      <protection locked="0"/>
    </xf>
    <xf numFmtId="0" fontId="35" fillId="18" borderId="0" xfId="0" applyFont="1" applyFill="1" applyAlignment="1" applyProtection="1">
      <alignment horizontal="center"/>
      <protection locked="0"/>
    </xf>
    <xf numFmtId="0" fontId="35" fillId="18" borderId="0" xfId="0" applyFont="1" applyFill="1" applyAlignment="1" applyProtection="1">
      <protection locked="0"/>
    </xf>
    <xf numFmtId="0" fontId="35" fillId="18" borderId="1" xfId="0" applyFont="1" applyFill="1" applyBorder="1" applyAlignment="1">
      <alignment horizontal="center"/>
    </xf>
    <xf numFmtId="38" fontId="35" fillId="18" borderId="2" xfId="0" applyNumberFormat="1" applyFont="1" applyFill="1" applyBorder="1"/>
    <xf numFmtId="0" fontId="35" fillId="18" borderId="3" xfId="0" applyFont="1" applyFill="1" applyBorder="1"/>
    <xf numFmtId="0" fontId="35" fillId="18" borderId="2" xfId="0" applyFont="1" applyFill="1" applyBorder="1"/>
    <xf numFmtId="0" fontId="35" fillId="18" borderId="4" xfId="0" applyFont="1" applyFill="1" applyBorder="1" applyAlignment="1">
      <alignment horizontal="center"/>
    </xf>
    <xf numFmtId="0" fontId="35" fillId="18" borderId="30" xfId="0" applyFont="1" applyFill="1" applyBorder="1"/>
    <xf numFmtId="0" fontId="35" fillId="18" borderId="5" xfId="0" applyFont="1" applyFill="1" applyBorder="1"/>
    <xf numFmtId="0" fontId="27" fillId="0" borderId="0" xfId="2" applyAlignment="1" applyProtection="1"/>
    <xf numFmtId="0" fontId="0" fillId="17" borderId="0" xfId="0" applyFill="1" applyBorder="1" applyAlignment="1">
      <alignment horizontal="center"/>
    </xf>
    <xf numFmtId="0" fontId="0" fillId="6" borderId="8" xfId="0" applyFill="1" applyBorder="1"/>
    <xf numFmtId="0" fontId="0" fillId="6" borderId="6" xfId="0" applyFill="1" applyBorder="1" applyAlignment="1">
      <alignment horizontal="center"/>
    </xf>
    <xf numFmtId="0" fontId="0" fillId="6" borderId="7" xfId="0" applyFill="1" applyBorder="1"/>
    <xf numFmtId="0" fontId="0" fillId="6" borderId="8" xfId="0" applyFill="1" applyBorder="1" applyAlignment="1">
      <alignment horizontal="center"/>
    </xf>
    <xf numFmtId="0" fontId="0" fillId="6" borderId="6" xfId="0" applyFill="1" applyBorder="1"/>
    <xf numFmtId="0" fontId="70" fillId="0" borderId="2" xfId="0" applyFont="1" applyBorder="1"/>
    <xf numFmtId="0" fontId="70" fillId="0" borderId="1" xfId="0" applyFont="1" applyBorder="1"/>
    <xf numFmtId="0" fontId="70" fillId="0" borderId="4" xfId="0" applyFont="1" applyBorder="1"/>
    <xf numFmtId="0" fontId="3" fillId="0" borderId="0" xfId="0" applyFont="1" applyAlignment="1">
      <alignment horizontal="right"/>
    </xf>
    <xf numFmtId="180" fontId="1" fillId="21" borderId="2" xfId="0" applyNumberFormat="1" applyFont="1" applyFill="1" applyBorder="1" applyProtection="1">
      <protection locked="0"/>
    </xf>
    <xf numFmtId="10" fontId="45" fillId="0" borderId="0" xfId="0" applyNumberFormat="1" applyFont="1" applyAlignment="1">
      <alignment horizontal="center"/>
    </xf>
    <xf numFmtId="178" fontId="44" fillId="2" borderId="36" xfId="0" applyNumberFormat="1" applyFont="1" applyFill="1" applyBorder="1" applyAlignment="1" applyProtection="1">
      <alignment horizontal="center"/>
    </xf>
    <xf numFmtId="38" fontId="45" fillId="0" borderId="2" xfId="0" applyNumberFormat="1" applyFont="1" applyFill="1" applyBorder="1" applyProtection="1">
      <protection locked="0"/>
    </xf>
    <xf numFmtId="0" fontId="35" fillId="0" borderId="0" xfId="0" applyFont="1" applyAlignment="1" applyProtection="1">
      <alignment horizontal="right"/>
      <protection locked="0"/>
    </xf>
    <xf numFmtId="0" fontId="35" fillId="0" borderId="0" xfId="0" applyFont="1" applyAlignment="1">
      <alignment horizontal="right"/>
    </xf>
    <xf numFmtId="178" fontId="36" fillId="0" borderId="0" xfId="0" applyNumberFormat="1" applyFont="1" applyFill="1" applyBorder="1" applyAlignment="1" applyProtection="1">
      <alignment horizontal="center"/>
      <protection locked="0"/>
    </xf>
    <xf numFmtId="38" fontId="35" fillId="0" borderId="0" xfId="3" applyFont="1" applyFill="1" applyBorder="1" applyProtection="1">
      <protection locked="0"/>
    </xf>
    <xf numFmtId="38" fontId="35" fillId="0" borderId="0" xfId="3" applyFont="1" applyFill="1" applyBorder="1"/>
    <xf numFmtId="0" fontId="35" fillId="0" borderId="0" xfId="0" applyFont="1" applyFill="1"/>
    <xf numFmtId="38" fontId="35" fillId="0" borderId="0" xfId="3" applyNumberFormat="1" applyFont="1" applyFill="1" applyBorder="1" applyProtection="1">
      <protection locked="0"/>
    </xf>
    <xf numFmtId="9" fontId="35" fillId="0" borderId="0" xfId="1" applyFont="1" applyFill="1" applyBorder="1" applyProtection="1">
      <protection locked="0"/>
    </xf>
    <xf numFmtId="38" fontId="35" fillId="0" borderId="0" xfId="3" applyFont="1" applyFill="1"/>
    <xf numFmtId="38" fontId="37" fillId="0" borderId="0" xfId="3" applyFont="1" applyFill="1" applyBorder="1"/>
    <xf numFmtId="0" fontId="45" fillId="0" borderId="64" xfId="0" applyFont="1" applyBorder="1"/>
    <xf numFmtId="0" fontId="45" fillId="0" borderId="7" xfId="0" applyFont="1" applyBorder="1"/>
    <xf numFmtId="0" fontId="73" fillId="0" borderId="0" xfId="0" applyFont="1"/>
    <xf numFmtId="0" fontId="74" fillId="0" borderId="0" xfId="0" applyFont="1"/>
    <xf numFmtId="0" fontId="75" fillId="0" borderId="0" xfId="0" applyFont="1" applyAlignment="1">
      <alignment horizontal="right"/>
    </xf>
    <xf numFmtId="0" fontId="75" fillId="0" borderId="0" xfId="0" applyFont="1"/>
    <xf numFmtId="0" fontId="76" fillId="0" borderId="0" xfId="0" applyFont="1" applyProtection="1"/>
    <xf numFmtId="0" fontId="76" fillId="0" borderId="0" xfId="0" applyFont="1"/>
    <xf numFmtId="0" fontId="77" fillId="0" borderId="0" xfId="0" applyFont="1"/>
    <xf numFmtId="0" fontId="76" fillId="0" borderId="0" xfId="0" applyFont="1" applyAlignment="1" applyProtection="1">
      <alignment horizontal="right"/>
    </xf>
    <xf numFmtId="0" fontId="78" fillId="18" borderId="2" xfId="0" applyFont="1" applyFill="1" applyBorder="1" applyAlignment="1">
      <alignment horizontal="center"/>
    </xf>
    <xf numFmtId="0" fontId="15" fillId="14" borderId="2" xfId="0" applyFont="1" applyFill="1" applyBorder="1"/>
    <xf numFmtId="0" fontId="15" fillId="0" borderId="2" xfId="0" applyFont="1" applyBorder="1"/>
    <xf numFmtId="38" fontId="0" fillId="0" borderId="2" xfId="3" applyNumberFormat="1" applyFont="1" applyBorder="1" applyAlignment="1">
      <alignment horizontal="right"/>
    </xf>
    <xf numFmtId="0" fontId="15" fillId="0" borderId="2" xfId="0" applyFont="1" applyBorder="1" applyAlignment="1">
      <alignment horizontal="center"/>
    </xf>
    <xf numFmtId="184" fontId="35" fillId="18" borderId="0" xfId="0" applyNumberFormat="1" applyFont="1" applyFill="1" applyAlignment="1" applyProtection="1">
      <alignment horizontal="right"/>
      <protection locked="0"/>
    </xf>
    <xf numFmtId="0" fontId="79" fillId="0" borderId="0" xfId="0" applyFont="1"/>
    <xf numFmtId="0" fontId="73" fillId="0" borderId="17" xfId="0" applyFont="1" applyBorder="1"/>
    <xf numFmtId="38" fontId="73" fillId="0" borderId="17" xfId="3" applyFont="1" applyBorder="1"/>
    <xf numFmtId="0" fontId="73" fillId="0" borderId="18" xfId="0" applyFont="1" applyBorder="1"/>
    <xf numFmtId="38" fontId="73" fillId="0" borderId="18" xfId="3" applyFont="1" applyBorder="1"/>
    <xf numFmtId="0" fontId="73" fillId="0" borderId="19" xfId="0" applyFont="1" applyBorder="1"/>
    <xf numFmtId="38" fontId="73" fillId="0" borderId="19" xfId="3" applyFont="1" applyBorder="1"/>
    <xf numFmtId="0" fontId="73" fillId="0" borderId="2" xfId="0" applyFont="1" applyBorder="1"/>
    <xf numFmtId="38" fontId="73" fillId="0" borderId="2" xfId="3" applyFont="1" applyBorder="1"/>
    <xf numFmtId="10" fontId="73" fillId="0" borderId="2" xfId="1" applyNumberFormat="1" applyFont="1" applyBorder="1"/>
    <xf numFmtId="0" fontId="0" fillId="0" borderId="0" xfId="0" applyProtection="1">
      <protection locked="0"/>
    </xf>
    <xf numFmtId="0" fontId="80" fillId="0" borderId="0" xfId="0" applyFont="1"/>
    <xf numFmtId="0" fontId="81" fillId="0" borderId="0" xfId="0" applyFont="1" applyAlignment="1">
      <alignment horizontal="center"/>
    </xf>
    <xf numFmtId="40" fontId="0" fillId="0" borderId="19" xfId="3" applyNumberFormat="1" applyFont="1" applyBorder="1"/>
    <xf numFmtId="40" fontId="0" fillId="0" borderId="0" xfId="3" applyNumberFormat="1" applyFont="1"/>
    <xf numFmtId="40" fontId="0" fillId="0" borderId="0" xfId="0" applyNumberFormat="1"/>
    <xf numFmtId="0" fontId="0" fillId="0" borderId="0" xfId="0" applyFill="1" applyBorder="1" applyAlignment="1">
      <alignment horizontal="center"/>
    </xf>
    <xf numFmtId="40" fontId="0" fillId="0" borderId="17" xfId="3" applyNumberFormat="1" applyFont="1" applyBorder="1"/>
    <xf numFmtId="40" fontId="0" fillId="0" borderId="18" xfId="3" applyNumberFormat="1" applyFont="1" applyBorder="1"/>
    <xf numFmtId="0" fontId="0" fillId="0" borderId="2" xfId="0" applyBorder="1" applyAlignment="1">
      <alignment horizontal="center"/>
    </xf>
    <xf numFmtId="0" fontId="0" fillId="0" borderId="17" xfId="0"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181" fontId="0" fillId="18" borderId="17" xfId="1" applyNumberFormat="1" applyFont="1" applyFill="1" applyBorder="1" applyAlignment="1"/>
    <xf numFmtId="181" fontId="0" fillId="18" borderId="17" xfId="0" applyNumberFormat="1" applyFill="1" applyBorder="1" applyAlignment="1"/>
    <xf numFmtId="181" fontId="0" fillId="0" borderId="19" xfId="1" applyNumberFormat="1" applyFont="1" applyFill="1" applyBorder="1" applyAlignment="1" applyProtection="1">
      <protection locked="0"/>
    </xf>
    <xf numFmtId="10" fontId="0" fillId="18" borderId="2" xfId="1" applyNumberFormat="1" applyFont="1" applyFill="1" applyBorder="1" applyAlignment="1" applyProtection="1">
      <protection locked="0"/>
    </xf>
    <xf numFmtId="0" fontId="45" fillId="18" borderId="8" xfId="0" applyFont="1" applyFill="1" applyBorder="1"/>
    <xf numFmtId="0" fontId="45" fillId="18" borderId="49" xfId="0" applyFont="1" applyFill="1" applyBorder="1"/>
    <xf numFmtId="0" fontId="0" fillId="22" borderId="2" xfId="0" applyFill="1" applyBorder="1" applyProtection="1"/>
    <xf numFmtId="0" fontId="0" fillId="22" borderId="2" xfId="0" applyFill="1" applyBorder="1" applyAlignment="1" applyProtection="1">
      <alignment horizontal="center"/>
      <protection locked="0"/>
    </xf>
    <xf numFmtId="0" fontId="0" fillId="22" borderId="2" xfId="0" applyNumberFormat="1" applyFill="1" applyBorder="1" applyAlignment="1" applyProtection="1">
      <alignment horizontal="center"/>
      <protection locked="0"/>
    </xf>
    <xf numFmtId="0" fontId="45" fillId="0" borderId="2" xfId="0" applyFont="1" applyBorder="1" applyAlignment="1">
      <alignment horizontal="right"/>
    </xf>
    <xf numFmtId="0" fontId="0" fillId="17" borderId="0" xfId="0" applyFill="1" applyAlignment="1">
      <alignment horizontal="center"/>
    </xf>
    <xf numFmtId="0" fontId="16" fillId="0" borderId="0" xfId="0" applyFont="1" applyAlignment="1">
      <alignment horizontal="center"/>
    </xf>
    <xf numFmtId="0" fontId="45" fillId="0" borderId="2" xfId="0" applyFont="1" applyBorder="1" applyAlignment="1">
      <alignment horizontal="center"/>
    </xf>
    <xf numFmtId="0" fontId="60" fillId="16" borderId="0" xfId="0" applyFont="1" applyFill="1" applyAlignment="1">
      <alignment horizontal="center" vertical="center"/>
    </xf>
    <xf numFmtId="0" fontId="46" fillId="18" borderId="0" xfId="0" applyFont="1" applyFill="1" applyAlignment="1">
      <alignment horizontal="center" vertical="top" wrapText="1"/>
    </xf>
    <xf numFmtId="0" fontId="31" fillId="2" borderId="0" xfId="0" applyFont="1" applyFill="1" applyAlignment="1">
      <alignment horizontal="center"/>
    </xf>
    <xf numFmtId="0" fontId="19" fillId="9" borderId="55" xfId="0" applyFont="1" applyFill="1" applyBorder="1" applyAlignment="1" applyProtection="1">
      <alignment horizontal="center" vertical="center"/>
    </xf>
    <xf numFmtId="0" fontId="19" fillId="9" borderId="32" xfId="0" applyFont="1" applyFill="1" applyBorder="1" applyAlignment="1" applyProtection="1">
      <alignment horizontal="center" vertical="center"/>
    </xf>
    <xf numFmtId="0" fontId="20" fillId="9" borderId="52" xfId="0" applyFont="1" applyFill="1" applyBorder="1" applyAlignment="1" applyProtection="1">
      <alignment horizontal="center" vertical="center"/>
    </xf>
    <xf numFmtId="0" fontId="20" fillId="9" borderId="33" xfId="0" applyFont="1" applyFill="1" applyBorder="1" applyAlignment="1" applyProtection="1">
      <alignment horizontal="center" vertical="center"/>
    </xf>
    <xf numFmtId="0" fontId="25" fillId="2" borderId="48" xfId="0" applyFont="1" applyFill="1" applyBorder="1" applyAlignment="1" applyProtection="1">
      <alignment horizontal="center"/>
    </xf>
    <xf numFmtId="0" fontId="26" fillId="2" borderId="44" xfId="0" applyFont="1" applyFill="1" applyBorder="1" applyAlignment="1" applyProtection="1">
      <alignment horizontal="center"/>
    </xf>
    <xf numFmtId="0" fontId="21" fillId="9" borderId="48" xfId="0" applyFont="1" applyFill="1" applyBorder="1" applyAlignment="1" applyProtection="1">
      <alignment horizontal="center" vertical="center"/>
    </xf>
    <xf numFmtId="0" fontId="21" fillId="9" borderId="44" xfId="0" applyFont="1" applyFill="1" applyBorder="1" applyAlignment="1" applyProtection="1">
      <alignment horizontal="center" vertical="center"/>
    </xf>
    <xf numFmtId="0" fontId="0" fillId="6" borderId="8" xfId="0" applyFill="1" applyBorder="1" applyAlignment="1">
      <alignment horizontal="center"/>
    </xf>
    <xf numFmtId="0" fontId="0" fillId="6" borderId="7" xfId="0" applyFill="1" applyBorder="1" applyAlignment="1">
      <alignment horizontal="center"/>
    </xf>
    <xf numFmtId="0" fontId="35" fillId="3" borderId="0" xfId="0" applyFont="1" applyFill="1" applyAlignment="1">
      <alignment horizontal="left"/>
    </xf>
    <xf numFmtId="0" fontId="43" fillId="11" borderId="48" xfId="0" applyFont="1" applyFill="1" applyBorder="1" applyAlignment="1">
      <alignment horizontal="center"/>
    </xf>
    <xf numFmtId="0" fontId="43" fillId="11" borderId="44" xfId="0" applyFont="1" applyFill="1" applyBorder="1" applyAlignment="1">
      <alignment horizontal="center"/>
    </xf>
    <xf numFmtId="0" fontId="35" fillId="2" borderId="0" xfId="0" applyFont="1" applyFill="1" applyBorder="1" applyAlignment="1">
      <alignment horizontal="center" vertical="center"/>
    </xf>
    <xf numFmtId="0" fontId="35" fillId="2" borderId="50" xfId="0" applyFont="1" applyFill="1" applyBorder="1" applyAlignment="1">
      <alignment horizontal="center" vertical="center"/>
    </xf>
    <xf numFmtId="0" fontId="35" fillId="18" borderId="50" xfId="0" applyFont="1" applyFill="1" applyBorder="1" applyAlignment="1"/>
    <xf numFmtId="0" fontId="35" fillId="2" borderId="66" xfId="0" applyFont="1" applyFill="1" applyBorder="1" applyAlignment="1">
      <alignment horizontal="center" vertical="center"/>
    </xf>
    <xf numFmtId="0" fontId="38" fillId="10" borderId="0" xfId="0" applyFont="1" applyFill="1" applyAlignment="1">
      <alignment horizontal="center"/>
    </xf>
    <xf numFmtId="0" fontId="35" fillId="18" borderId="0" xfId="0" applyFont="1" applyFill="1" applyAlignment="1"/>
    <xf numFmtId="0" fontId="0" fillId="0" borderId="0" xfId="0" applyAlignment="1">
      <alignment horizontal="center"/>
    </xf>
    <xf numFmtId="0" fontId="0" fillId="0" borderId="50" xfId="0" applyBorder="1" applyAlignment="1">
      <alignment horizontal="center"/>
    </xf>
    <xf numFmtId="0" fontId="28" fillId="12" borderId="0" xfId="0" applyFont="1" applyFill="1" applyAlignment="1">
      <alignment horizontal="center"/>
    </xf>
  </cellXfs>
  <cellStyles count="163">
    <cellStyle name="パーセント" xfId="1" builtinId="5"/>
    <cellStyle name="ハイパーリンク" xfId="2" builtinId="8"/>
    <cellStyle name="桁区切り" xfId="3" builtinId="6"/>
    <cellStyle name="標準" xfId="0" builtinId="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s>
  <dxfs count="2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fill>
        <patternFill>
          <bgColor indexed="10"/>
        </patternFill>
      </fill>
    </dxf>
    <dxf>
      <font>
        <condense val="0"/>
        <extend val="0"/>
        <color indexed="1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99FF9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8"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27</xdr:row>
          <xdr:rowOff>0</xdr:rowOff>
        </xdr:from>
        <xdr:to>
          <xdr:col>2</xdr:col>
          <xdr:colOff>762000</xdr:colOff>
          <xdr:row>28</xdr:row>
          <xdr:rowOff>139700</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台帳作成</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27</xdr:row>
          <xdr:rowOff>0</xdr:rowOff>
        </xdr:from>
        <xdr:to>
          <xdr:col>4</xdr:col>
          <xdr:colOff>317500</xdr:colOff>
          <xdr:row>28</xdr:row>
          <xdr:rowOff>177800</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台帳初期化</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546100</xdr:colOff>
          <xdr:row>27</xdr:row>
          <xdr:rowOff>12700</xdr:rowOff>
        </xdr:from>
        <xdr:to>
          <xdr:col>5</xdr:col>
          <xdr:colOff>635000</xdr:colOff>
          <xdr:row>28</xdr:row>
          <xdr:rowOff>177800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台帳印刷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139700</xdr:colOff>
          <xdr:row>2</xdr:row>
          <xdr:rowOff>152400</xdr:rowOff>
        </xdr:from>
        <xdr:to>
          <xdr:col>14</xdr:col>
          <xdr:colOff>1562100</xdr:colOff>
          <xdr:row>3</xdr:row>
          <xdr:rowOff>203200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一覧表印刷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xdr:row>
          <xdr:rowOff>152400</xdr:rowOff>
        </xdr:from>
        <xdr:to>
          <xdr:col>14</xdr:col>
          <xdr:colOff>1549400</xdr:colOff>
          <xdr:row>6</xdr:row>
          <xdr:rowOff>25400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明細書印刷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8</xdr:row>
          <xdr:rowOff>165100</xdr:rowOff>
        </xdr:from>
        <xdr:to>
          <xdr:col>14</xdr:col>
          <xdr:colOff>1574800</xdr:colOff>
          <xdr:row>9</xdr:row>
          <xdr:rowOff>215900</xdr:rowOff>
        </xdr:to>
        <xdr:sp macro="" textlink="">
          <xdr:nvSpPr>
            <xdr:cNvPr id="2052" name="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給与転記</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609600</xdr:colOff>
          <xdr:row>1</xdr:row>
          <xdr:rowOff>76200</xdr:rowOff>
        </xdr:from>
        <xdr:to>
          <xdr:col>11</xdr:col>
          <xdr:colOff>889000</xdr:colOff>
          <xdr:row>2</xdr:row>
          <xdr:rowOff>228600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明細書印刷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38100</xdr:colOff>
          <xdr:row>1</xdr:row>
          <xdr:rowOff>63500</xdr:rowOff>
        </xdr:from>
        <xdr:to>
          <xdr:col>10</xdr:col>
          <xdr:colOff>342900</xdr:colOff>
          <xdr:row>3</xdr:row>
          <xdr:rowOff>12700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一覧表印刷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1117600</xdr:colOff>
          <xdr:row>1</xdr:row>
          <xdr:rowOff>76200</xdr:rowOff>
        </xdr:from>
        <xdr:to>
          <xdr:col>13</xdr:col>
          <xdr:colOff>228600</xdr:colOff>
          <xdr:row>2</xdr:row>
          <xdr:rowOff>228600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cs typeface="ＭＳ Ｐゴシック"/>
                </a:rPr>
                <a:t>賞与転記</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4" Type="http://schemas.openxmlformats.org/officeDocument/2006/relationships/ctrlProp" Target="../ctrlProps/ctrlProp5.xml"/><Relationship Id="rId5" Type="http://schemas.openxmlformats.org/officeDocument/2006/relationships/ctrlProp" Target="../ctrlProps/ctrlProp6.xml"/><Relationship Id="rId6" Type="http://schemas.openxmlformats.org/officeDocument/2006/relationships/comments" Target="../comments2.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4" Type="http://schemas.openxmlformats.org/officeDocument/2006/relationships/ctrlProp" Target="../ctrlProps/ctrlProp8.xml"/><Relationship Id="rId5" Type="http://schemas.openxmlformats.org/officeDocument/2006/relationships/ctrlProp" Target="../ctrlProps/ctrlProp9.xml"/><Relationship Id="rId6" Type="http://schemas.openxmlformats.org/officeDocument/2006/relationships/comments" Target="../comments3.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kyoukaikenpo.or.jp/g3/cat330/sb3150/h27/h27ryougakuhyou" TargetMode="External"/><Relationship Id="rId2" Type="http://schemas.openxmlformats.org/officeDocument/2006/relationships/hyperlink" Target="http://www.mhlw.go.jp/file/06-Seisakujouhou-11600000-Shokugyouanteikyoku/00000739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D39"/>
  <sheetViews>
    <sheetView tabSelected="1" workbookViewId="0">
      <selection activeCell="B3" sqref="B3"/>
    </sheetView>
  </sheetViews>
  <sheetFormatPr baseColWidth="12" defaultColWidth="13" defaultRowHeight="17" x14ac:dyDescent="0"/>
  <cols>
    <col min="1" max="1" width="3.5" bestFit="1" customWidth="1"/>
    <col min="2" max="2" width="14.5" bestFit="1" customWidth="1"/>
    <col min="3" max="3" width="5.33203125" bestFit="1" customWidth="1"/>
    <col min="4" max="4" width="121.83203125" bestFit="1" customWidth="1"/>
  </cols>
  <sheetData>
    <row r="1" spans="1:4">
      <c r="A1" s="614" t="s">
        <v>310</v>
      </c>
      <c r="B1" s="614"/>
      <c r="C1" s="614"/>
      <c r="D1" s="614"/>
    </row>
    <row r="3" spans="1:4">
      <c r="C3" s="592" t="s">
        <v>407</v>
      </c>
      <c r="D3" t="s">
        <v>408</v>
      </c>
    </row>
    <row r="5" spans="1:4">
      <c r="A5" t="s">
        <v>311</v>
      </c>
      <c r="B5" t="s">
        <v>314</v>
      </c>
      <c r="C5" s="464" t="s">
        <v>312</v>
      </c>
      <c r="D5" t="s">
        <v>343</v>
      </c>
    </row>
    <row r="6" spans="1:4">
      <c r="C6" t="s">
        <v>313</v>
      </c>
      <c r="D6" t="s">
        <v>413</v>
      </c>
    </row>
    <row r="8" spans="1:4">
      <c r="A8" t="s">
        <v>315</v>
      </c>
      <c r="B8" t="s">
        <v>316</v>
      </c>
      <c r="C8" t="s">
        <v>317</v>
      </c>
      <c r="D8" t="s">
        <v>318</v>
      </c>
    </row>
    <row r="9" spans="1:4">
      <c r="C9" t="s">
        <v>322</v>
      </c>
      <c r="D9" t="s">
        <v>320</v>
      </c>
    </row>
    <row r="10" spans="1:4">
      <c r="D10" t="s">
        <v>321</v>
      </c>
    </row>
    <row r="11" spans="1:4">
      <c r="C11" t="s">
        <v>323</v>
      </c>
      <c r="D11" t="s">
        <v>324</v>
      </c>
    </row>
    <row r="12" spans="1:4">
      <c r="D12" t="s">
        <v>354</v>
      </c>
    </row>
    <row r="13" spans="1:4">
      <c r="C13" t="s">
        <v>325</v>
      </c>
      <c r="D13" t="s">
        <v>414</v>
      </c>
    </row>
    <row r="15" spans="1:4">
      <c r="A15" t="s">
        <v>326</v>
      </c>
      <c r="B15" t="s">
        <v>372</v>
      </c>
      <c r="C15" s="464" t="s">
        <v>333</v>
      </c>
      <c r="D15" t="s">
        <v>345</v>
      </c>
    </row>
    <row r="16" spans="1:4">
      <c r="C16" s="464"/>
      <c r="D16" t="s">
        <v>405</v>
      </c>
    </row>
    <row r="17" spans="1:4">
      <c r="C17" s="464"/>
      <c r="D17" t="s">
        <v>406</v>
      </c>
    </row>
    <row r="18" spans="1:4">
      <c r="C18" t="s">
        <v>334</v>
      </c>
      <c r="D18" t="s">
        <v>415</v>
      </c>
    </row>
    <row r="19" spans="1:4">
      <c r="C19" t="s">
        <v>335</v>
      </c>
      <c r="D19" t="s">
        <v>416</v>
      </c>
    </row>
    <row r="20" spans="1:4">
      <c r="C20" t="s">
        <v>336</v>
      </c>
      <c r="D20" t="s">
        <v>417</v>
      </c>
    </row>
    <row r="22" spans="1:4">
      <c r="A22" t="s">
        <v>327</v>
      </c>
      <c r="B22" t="s">
        <v>309</v>
      </c>
      <c r="C22" t="s">
        <v>337</v>
      </c>
      <c r="D22" t="s">
        <v>338</v>
      </c>
    </row>
    <row r="23" spans="1:4">
      <c r="C23" t="s">
        <v>339</v>
      </c>
      <c r="D23" t="s">
        <v>435</v>
      </c>
    </row>
    <row r="24" spans="1:4">
      <c r="C24" t="s">
        <v>340</v>
      </c>
      <c r="D24" t="s">
        <v>341</v>
      </c>
    </row>
    <row r="25" spans="1:4">
      <c r="C25" t="s">
        <v>342</v>
      </c>
      <c r="D25" t="s">
        <v>344</v>
      </c>
    </row>
    <row r="27" spans="1:4">
      <c r="A27" t="s">
        <v>346</v>
      </c>
      <c r="B27" t="s">
        <v>347</v>
      </c>
      <c r="C27" t="s">
        <v>348</v>
      </c>
      <c r="D27" t="s">
        <v>349</v>
      </c>
    </row>
    <row r="29" spans="1:4">
      <c r="A29" t="s">
        <v>350</v>
      </c>
      <c r="B29" t="s">
        <v>351</v>
      </c>
      <c r="C29" t="s">
        <v>352</v>
      </c>
      <c r="D29" t="s">
        <v>353</v>
      </c>
    </row>
    <row r="31" spans="1:4">
      <c r="A31" t="s">
        <v>357</v>
      </c>
      <c r="B31" t="s">
        <v>358</v>
      </c>
      <c r="C31" t="s">
        <v>359</v>
      </c>
      <c r="D31" t="s">
        <v>418</v>
      </c>
    </row>
    <row r="32" spans="1:4">
      <c r="C32" t="s">
        <v>361</v>
      </c>
      <c r="D32" t="s">
        <v>360</v>
      </c>
    </row>
    <row r="33" spans="1:4">
      <c r="C33" t="s">
        <v>367</v>
      </c>
      <c r="D33" t="s">
        <v>362</v>
      </c>
    </row>
    <row r="35" spans="1:4">
      <c r="A35" t="s">
        <v>363</v>
      </c>
      <c r="B35" t="s">
        <v>355</v>
      </c>
      <c r="C35" t="s">
        <v>364</v>
      </c>
      <c r="D35" t="s">
        <v>356</v>
      </c>
    </row>
    <row r="36" spans="1:4">
      <c r="C36" t="s">
        <v>365</v>
      </c>
      <c r="D36" t="s">
        <v>373</v>
      </c>
    </row>
    <row r="37" spans="1:4">
      <c r="C37" t="s">
        <v>366</v>
      </c>
      <c r="D37" t="s">
        <v>411</v>
      </c>
    </row>
    <row r="38" spans="1:4">
      <c r="C38" t="s">
        <v>369</v>
      </c>
      <c r="D38" t="s">
        <v>410</v>
      </c>
    </row>
    <row r="39" spans="1:4">
      <c r="C39" t="s">
        <v>409</v>
      </c>
      <c r="D39" t="s">
        <v>412</v>
      </c>
    </row>
  </sheetData>
  <sheetProtection sheet="1" objects="1" scenarios="1"/>
  <mergeCells count="1">
    <mergeCell ref="A1:D1"/>
  </mergeCells>
  <phoneticPr fontId="59"/>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iGoukei" enableFormatConditionsCalculation="0">
    <tabColor indexed="13"/>
    <pageSetUpPr fitToPage="1"/>
  </sheetPr>
  <dimension ref="A1:T35"/>
  <sheetViews>
    <sheetView workbookViewId="0">
      <pane xSplit="1" ySplit="5" topLeftCell="F6" activePane="bottomRight" state="frozen"/>
      <selection activeCell="B19" sqref="B19"/>
      <selection pane="topRight" activeCell="B19" sqref="B19"/>
      <selection pane="bottomLeft" activeCell="B19" sqref="B19"/>
      <selection pane="bottomRight" activeCell="B4" sqref="B4"/>
    </sheetView>
  </sheetViews>
  <sheetFormatPr baseColWidth="12" defaultColWidth="11" defaultRowHeight="14" x14ac:dyDescent="0"/>
  <cols>
    <col min="1" max="1" width="11.1640625" style="116" bestFit="1" customWidth="1"/>
    <col min="2" max="13" width="9.83203125" style="116" customWidth="1"/>
    <col min="14" max="14" width="11.6640625" style="116" bestFit="1" customWidth="1"/>
    <col min="15" max="15" width="2.1640625" style="116" customWidth="1"/>
    <col min="16" max="16" width="11.1640625" style="116" bestFit="1" customWidth="1"/>
    <col min="17" max="18" width="10.6640625" style="116" customWidth="1"/>
    <col min="19" max="19" width="11.6640625" style="116" bestFit="1" customWidth="1"/>
    <col min="20" max="16384" width="11" style="116"/>
  </cols>
  <sheetData>
    <row r="1" spans="1:19">
      <c r="A1" s="113">
        <f>DATEVALUE(従業者名簿!B3&amp;"/1/1")</f>
        <v>42005</v>
      </c>
      <c r="B1" s="114"/>
      <c r="C1" s="630"/>
      <c r="D1" s="630"/>
      <c r="E1" s="115"/>
      <c r="F1" s="115"/>
      <c r="G1" s="115"/>
      <c r="H1" s="115"/>
      <c r="I1" s="115"/>
      <c r="J1" s="115"/>
      <c r="K1" s="115"/>
      <c r="L1" s="115"/>
      <c r="M1" s="115"/>
      <c r="N1" s="115"/>
    </row>
    <row r="2" spans="1:19">
      <c r="A2" s="113"/>
      <c r="B2" s="114"/>
      <c r="C2" s="630"/>
      <c r="D2" s="630"/>
      <c r="E2" s="115"/>
      <c r="F2" s="115"/>
      <c r="G2" s="115"/>
      <c r="H2" s="115"/>
      <c r="I2" s="115"/>
      <c r="J2" s="115"/>
      <c r="K2" s="115"/>
      <c r="L2" s="115"/>
      <c r="M2" s="115"/>
      <c r="N2" s="115"/>
    </row>
    <row r="3" spans="1:19">
      <c r="A3" s="115"/>
      <c r="B3" s="114"/>
      <c r="C3" s="630"/>
      <c r="D3" s="630"/>
      <c r="E3" s="115"/>
      <c r="F3" s="115"/>
      <c r="G3" s="115"/>
      <c r="H3" s="115"/>
      <c r="I3" s="115"/>
      <c r="J3" s="115"/>
      <c r="K3" s="115"/>
      <c r="L3" s="115"/>
      <c r="M3" s="115"/>
      <c r="N3" s="115"/>
    </row>
    <row r="4" spans="1:19" ht="15" thickBot="1">
      <c r="A4" s="115"/>
      <c r="B4" s="114"/>
      <c r="C4" s="115"/>
      <c r="D4" s="115"/>
      <c r="E4" s="115"/>
      <c r="F4" s="115"/>
      <c r="G4" s="115"/>
      <c r="H4" s="115"/>
      <c r="I4" s="115"/>
      <c r="J4" s="115"/>
      <c r="K4" s="115"/>
      <c r="L4" s="115"/>
      <c r="M4" s="115"/>
      <c r="N4" s="115"/>
    </row>
    <row r="5" spans="1:19">
      <c r="A5" s="117">
        <f>A1</f>
        <v>42005</v>
      </c>
      <c r="B5" s="118" t="s">
        <v>44</v>
      </c>
      <c r="C5" s="119" t="s">
        <v>86</v>
      </c>
      <c r="D5" s="119" t="s">
        <v>205</v>
      </c>
      <c r="E5" s="119" t="s">
        <v>84</v>
      </c>
      <c r="F5" s="119" t="s">
        <v>85</v>
      </c>
      <c r="G5" s="119" t="s">
        <v>16</v>
      </c>
      <c r="H5" s="119" t="s">
        <v>263</v>
      </c>
      <c r="I5" s="118" t="s">
        <v>98</v>
      </c>
      <c r="J5" s="119" t="s">
        <v>262</v>
      </c>
      <c r="K5" s="119" t="s">
        <v>88</v>
      </c>
      <c r="L5" s="119" t="s">
        <v>96</v>
      </c>
      <c r="M5" s="119" t="s">
        <v>179</v>
      </c>
      <c r="N5" s="120" t="s">
        <v>45</v>
      </c>
      <c r="P5" s="121"/>
      <c r="Q5" s="119" t="s">
        <v>196</v>
      </c>
      <c r="R5" s="119" t="s">
        <v>73</v>
      </c>
      <c r="S5" s="120" t="s">
        <v>42</v>
      </c>
    </row>
    <row r="6" spans="1:19">
      <c r="A6" s="122" t="s">
        <v>107</v>
      </c>
      <c r="B6" s="123"/>
      <c r="C6" s="123"/>
      <c r="D6" s="123"/>
      <c r="E6" s="123"/>
      <c r="F6" s="123"/>
      <c r="G6" s="123"/>
      <c r="H6" s="123"/>
      <c r="I6" s="123"/>
      <c r="J6" s="123"/>
      <c r="K6" s="123"/>
      <c r="L6" s="123"/>
      <c r="M6" s="123"/>
      <c r="N6" s="124">
        <f>SUM(B6:M6)</f>
        <v>0</v>
      </c>
      <c r="P6" s="122" t="s">
        <v>254</v>
      </c>
      <c r="Q6" s="125"/>
      <c r="R6" s="125"/>
      <c r="S6" s="124">
        <f>SUM(Q6:R6)</f>
        <v>0</v>
      </c>
    </row>
    <row r="7" spans="1:19">
      <c r="A7" s="126" t="s">
        <v>105</v>
      </c>
      <c r="B7" s="123"/>
      <c r="C7" s="123"/>
      <c r="D7" s="123"/>
      <c r="E7" s="123"/>
      <c r="F7" s="123"/>
      <c r="G7" s="123"/>
      <c r="H7" s="123"/>
      <c r="I7" s="123"/>
      <c r="J7" s="123"/>
      <c r="K7" s="123"/>
      <c r="L7" s="123"/>
      <c r="M7" s="123"/>
      <c r="N7" s="127">
        <f t="shared" ref="N7:N18" si="0">SUM(B7:M7)</f>
        <v>0</v>
      </c>
      <c r="P7" s="126" t="s">
        <v>255</v>
      </c>
      <c r="Q7" s="128"/>
      <c r="R7" s="128"/>
      <c r="S7" s="127">
        <f>SUM(Q7:R7)</f>
        <v>0</v>
      </c>
    </row>
    <row r="8" spans="1:19">
      <c r="A8" s="126" t="s">
        <v>89</v>
      </c>
      <c r="B8" s="123"/>
      <c r="C8" s="123"/>
      <c r="D8" s="123"/>
      <c r="E8" s="123"/>
      <c r="F8" s="123"/>
      <c r="G8" s="123"/>
      <c r="H8" s="123"/>
      <c r="I8" s="123"/>
      <c r="J8" s="123"/>
      <c r="K8" s="123"/>
      <c r="L8" s="123"/>
      <c r="M8" s="123"/>
      <c r="N8" s="127">
        <f t="shared" si="0"/>
        <v>0</v>
      </c>
      <c r="P8" s="126" t="s">
        <v>131</v>
      </c>
      <c r="Q8" s="128"/>
      <c r="R8" s="128"/>
      <c r="S8" s="127">
        <f>SUM(Q8:R8)</f>
        <v>0</v>
      </c>
    </row>
    <row r="9" spans="1:19" ht="15" thickBot="1">
      <c r="A9" s="126" t="s">
        <v>32</v>
      </c>
      <c r="B9" s="123"/>
      <c r="C9" s="123"/>
      <c r="D9" s="123"/>
      <c r="E9" s="123"/>
      <c r="F9" s="123"/>
      <c r="G9" s="123"/>
      <c r="H9" s="123"/>
      <c r="I9" s="123"/>
      <c r="J9" s="123"/>
      <c r="K9" s="123"/>
      <c r="L9" s="123"/>
      <c r="M9" s="123"/>
      <c r="N9" s="127">
        <f t="shared" si="0"/>
        <v>0</v>
      </c>
      <c r="P9" s="129" t="s">
        <v>50</v>
      </c>
      <c r="Q9" s="130"/>
      <c r="R9" s="130"/>
      <c r="S9" s="131">
        <f>SUM(Q9:R9)</f>
        <v>0</v>
      </c>
    </row>
    <row r="10" spans="1:19" ht="15" thickBot="1">
      <c r="A10" s="126" t="s">
        <v>35</v>
      </c>
      <c r="B10" s="123"/>
      <c r="C10" s="123"/>
      <c r="D10" s="123"/>
      <c r="E10" s="123"/>
      <c r="F10" s="123"/>
      <c r="G10" s="123"/>
      <c r="H10" s="123"/>
      <c r="I10" s="123"/>
      <c r="J10" s="123"/>
      <c r="K10" s="123"/>
      <c r="L10" s="123"/>
      <c r="M10" s="123"/>
      <c r="N10" s="127">
        <f t="shared" si="0"/>
        <v>0</v>
      </c>
    </row>
    <row r="11" spans="1:19">
      <c r="A11" s="126" t="s">
        <v>228</v>
      </c>
      <c r="B11" s="123"/>
      <c r="C11" s="123"/>
      <c r="D11" s="123"/>
      <c r="E11" s="123"/>
      <c r="F11" s="123"/>
      <c r="G11" s="123"/>
      <c r="H11" s="123"/>
      <c r="I11" s="123"/>
      <c r="J11" s="123"/>
      <c r="K11" s="123"/>
      <c r="L11" s="123"/>
      <c r="M11" s="123"/>
      <c r="N11" s="127">
        <f t="shared" si="0"/>
        <v>0</v>
      </c>
      <c r="P11" s="132" t="s">
        <v>215</v>
      </c>
      <c r="Q11" s="133"/>
      <c r="R11" s="133"/>
      <c r="S11" s="134">
        <f>SUM(Q11:R11)</f>
        <v>0</v>
      </c>
    </row>
    <row r="12" spans="1:19">
      <c r="A12" s="135" t="s">
        <v>264</v>
      </c>
      <c r="B12" s="123"/>
      <c r="C12" s="123"/>
      <c r="D12" s="123"/>
      <c r="E12" s="123"/>
      <c r="F12" s="123"/>
      <c r="G12" s="123"/>
      <c r="H12" s="123"/>
      <c r="I12" s="123"/>
      <c r="J12" s="123"/>
      <c r="K12" s="123"/>
      <c r="L12" s="123"/>
      <c r="M12" s="123"/>
      <c r="N12" s="137">
        <f t="shared" si="0"/>
        <v>0</v>
      </c>
      <c r="P12" s="126" t="s">
        <v>13</v>
      </c>
      <c r="Q12" s="128"/>
      <c r="R12" s="128"/>
      <c r="S12" s="127">
        <f>SUM(Q12:R12)</f>
        <v>0</v>
      </c>
    </row>
    <row r="13" spans="1:19">
      <c r="A13" s="138" t="s">
        <v>163</v>
      </c>
      <c r="B13" s="139"/>
      <c r="C13" s="139"/>
      <c r="D13" s="139"/>
      <c r="E13" s="139"/>
      <c r="F13" s="139"/>
      <c r="G13" s="139"/>
      <c r="H13" s="139"/>
      <c r="I13" s="139"/>
      <c r="J13" s="139"/>
      <c r="K13" s="139"/>
      <c r="L13" s="139"/>
      <c r="M13" s="139"/>
      <c r="N13" s="140">
        <f t="shared" si="0"/>
        <v>0</v>
      </c>
      <c r="P13" s="135" t="s">
        <v>100</v>
      </c>
      <c r="Q13" s="141"/>
      <c r="R13" s="141"/>
      <c r="S13" s="137">
        <f>SUM(Q13:R13)</f>
        <v>0</v>
      </c>
    </row>
    <row r="14" spans="1:19" ht="15" thickBot="1">
      <c r="A14" s="122" t="s">
        <v>26</v>
      </c>
      <c r="B14" s="142"/>
      <c r="C14" s="142"/>
      <c r="D14" s="142"/>
      <c r="E14" s="142"/>
      <c r="F14" s="142"/>
      <c r="G14" s="142"/>
      <c r="H14" s="142"/>
      <c r="I14" s="142"/>
      <c r="J14" s="142"/>
      <c r="K14" s="142"/>
      <c r="L14" s="142"/>
      <c r="M14" s="142"/>
      <c r="N14" s="143">
        <f t="shared" si="0"/>
        <v>0</v>
      </c>
      <c r="P14" s="138" t="s">
        <v>163</v>
      </c>
      <c r="Q14" s="139"/>
      <c r="R14" s="139"/>
      <c r="S14" s="140">
        <f>SUM(Q14:R14)</f>
        <v>0</v>
      </c>
    </row>
    <row r="15" spans="1:19">
      <c r="A15" s="135" t="s">
        <v>48</v>
      </c>
      <c r="B15" s="141"/>
      <c r="C15" s="141"/>
      <c r="D15" s="141"/>
      <c r="E15" s="141"/>
      <c r="F15" s="141"/>
      <c r="G15" s="141"/>
      <c r="H15" s="141"/>
      <c r="I15" s="141"/>
      <c r="J15" s="141"/>
      <c r="K15" s="141"/>
      <c r="L15" s="141"/>
      <c r="M15" s="141"/>
      <c r="N15" s="144">
        <f t="shared" si="0"/>
        <v>0</v>
      </c>
      <c r="P15" s="145" t="s">
        <v>150</v>
      </c>
      <c r="Q15" s="146"/>
      <c r="R15" s="146"/>
      <c r="S15" s="147">
        <f>SUM(Q15:R15)</f>
        <v>0</v>
      </c>
    </row>
    <row r="16" spans="1:19" ht="15" thickBot="1">
      <c r="A16" s="138" t="s">
        <v>45</v>
      </c>
      <c r="B16" s="139"/>
      <c r="C16" s="139"/>
      <c r="D16" s="139"/>
      <c r="E16" s="139"/>
      <c r="F16" s="139"/>
      <c r="G16" s="139"/>
      <c r="H16" s="139"/>
      <c r="I16" s="139"/>
      <c r="J16" s="139"/>
      <c r="K16" s="139"/>
      <c r="L16" s="139"/>
      <c r="M16" s="139"/>
      <c r="N16" s="140">
        <f t="shared" si="0"/>
        <v>0</v>
      </c>
      <c r="P16" s="148" t="s">
        <v>133</v>
      </c>
      <c r="Q16" s="149"/>
      <c r="R16" s="149"/>
      <c r="S16" s="150"/>
    </row>
    <row r="17" spans="1:20">
      <c r="A17" s="151" t="s">
        <v>1</v>
      </c>
      <c r="B17" s="152"/>
      <c r="C17" s="152"/>
      <c r="D17" s="152"/>
      <c r="E17" s="152"/>
      <c r="F17" s="152"/>
      <c r="G17" s="152"/>
      <c r="H17" s="152"/>
      <c r="I17" s="152"/>
      <c r="J17" s="152"/>
      <c r="K17" s="152"/>
      <c r="L17" s="152"/>
      <c r="M17" s="152"/>
      <c r="N17" s="153">
        <f t="shared" si="0"/>
        <v>0</v>
      </c>
      <c r="P17" s="122" t="s">
        <v>15</v>
      </c>
      <c r="Q17" s="154"/>
      <c r="R17" s="154"/>
      <c r="S17" s="124">
        <f>SUM(Q17:R17)</f>
        <v>0</v>
      </c>
    </row>
    <row r="18" spans="1:20" ht="15" thickBot="1">
      <c r="A18" s="129" t="s">
        <v>50</v>
      </c>
      <c r="B18" s="130"/>
      <c r="C18" s="130"/>
      <c r="D18" s="130"/>
      <c r="E18" s="130"/>
      <c r="F18" s="130"/>
      <c r="G18" s="130"/>
      <c r="H18" s="130"/>
      <c r="I18" s="130"/>
      <c r="J18" s="130"/>
      <c r="K18" s="130"/>
      <c r="L18" s="130"/>
      <c r="M18" s="130"/>
      <c r="N18" s="131">
        <f t="shared" si="0"/>
        <v>0</v>
      </c>
      <c r="P18" s="129" t="s">
        <v>124</v>
      </c>
      <c r="Q18" s="130"/>
      <c r="R18" s="130"/>
      <c r="S18" s="131">
        <f>SUM(Q18:R18)</f>
        <v>0</v>
      </c>
    </row>
    <row r="19" spans="1:20" ht="15" thickBot="1">
      <c r="P19" s="155"/>
      <c r="Q19" s="156"/>
      <c r="R19" s="156"/>
      <c r="S19" s="156"/>
    </row>
    <row r="20" spans="1:20" ht="15" thickBot="1">
      <c r="A20" s="132" t="s">
        <v>215</v>
      </c>
      <c r="B20" s="157"/>
      <c r="C20" s="157"/>
      <c r="D20" s="157"/>
      <c r="E20" s="157"/>
      <c r="F20" s="157"/>
      <c r="G20" s="157"/>
      <c r="H20" s="157"/>
      <c r="I20" s="157"/>
      <c r="J20" s="157"/>
      <c r="K20" s="157"/>
      <c r="L20" s="157"/>
      <c r="M20" s="157"/>
      <c r="N20" s="158">
        <f>SUM(B20:M20)</f>
        <v>0</v>
      </c>
      <c r="P20" s="159" t="s">
        <v>165</v>
      </c>
      <c r="Q20" s="160"/>
      <c r="R20" s="160"/>
      <c r="S20" s="161">
        <f>SUM(Q20:R20)</f>
        <v>0</v>
      </c>
    </row>
    <row r="21" spans="1:20">
      <c r="A21" s="126" t="s">
        <v>13</v>
      </c>
      <c r="B21" s="162"/>
      <c r="C21" s="162"/>
      <c r="D21" s="162"/>
      <c r="E21" s="162"/>
      <c r="F21" s="162"/>
      <c r="G21" s="162"/>
      <c r="H21" s="162"/>
      <c r="I21" s="162"/>
      <c r="J21" s="162"/>
      <c r="K21" s="162"/>
      <c r="L21" s="162"/>
      <c r="M21" s="162"/>
      <c r="N21" s="163">
        <f>SUM(B21:M21)</f>
        <v>0</v>
      </c>
      <c r="Q21" s="164">
        <f>Q9-Q18</f>
        <v>0</v>
      </c>
      <c r="R21" s="164">
        <f>R9-R18</f>
        <v>0</v>
      </c>
      <c r="S21" s="164">
        <f>S9-S18</f>
        <v>0</v>
      </c>
    </row>
    <row r="22" spans="1:20" ht="15" thickBot="1">
      <c r="A22" s="135" t="s">
        <v>100</v>
      </c>
      <c r="B22" s="141"/>
      <c r="C22" s="141"/>
      <c r="D22" s="141"/>
      <c r="E22" s="141"/>
      <c r="F22" s="141"/>
      <c r="G22" s="141"/>
      <c r="H22" s="141"/>
      <c r="I22" s="141"/>
      <c r="J22" s="141"/>
      <c r="K22" s="141"/>
      <c r="L22" s="141"/>
      <c r="M22" s="141"/>
      <c r="N22" s="144">
        <f>SUM(B22:M22)</f>
        <v>0</v>
      </c>
    </row>
    <row r="23" spans="1:20" ht="15" thickBot="1">
      <c r="A23" s="138" t="s">
        <v>163</v>
      </c>
      <c r="B23" s="139"/>
      <c r="C23" s="139"/>
      <c r="D23" s="139"/>
      <c r="E23" s="139"/>
      <c r="F23" s="139"/>
      <c r="G23" s="139"/>
      <c r="H23" s="139"/>
      <c r="I23" s="139"/>
      <c r="J23" s="139"/>
      <c r="K23" s="139"/>
      <c r="L23" s="139"/>
      <c r="M23" s="139"/>
      <c r="N23" s="140">
        <f>SUM(B23:M23)</f>
        <v>0</v>
      </c>
      <c r="P23" s="165" t="s">
        <v>166</v>
      </c>
      <c r="Q23" s="166"/>
      <c r="R23" s="167"/>
      <c r="S23" s="168">
        <f>N18+S9</f>
        <v>0</v>
      </c>
    </row>
    <row r="24" spans="1:20">
      <c r="A24" s="145" t="s">
        <v>150</v>
      </c>
      <c r="B24" s="169"/>
      <c r="C24" s="169"/>
      <c r="D24" s="169"/>
      <c r="E24" s="169"/>
      <c r="F24" s="169"/>
      <c r="G24" s="169"/>
      <c r="H24" s="169"/>
      <c r="I24" s="169"/>
      <c r="J24" s="169"/>
      <c r="K24" s="169"/>
      <c r="L24" s="169"/>
      <c r="M24" s="169"/>
      <c r="N24" s="170">
        <f>SUM(B24:M24)</f>
        <v>0</v>
      </c>
      <c r="P24" s="171" t="s">
        <v>75</v>
      </c>
      <c r="Q24" s="172" t="s">
        <v>10</v>
      </c>
      <c r="R24" s="173"/>
      <c r="S24" s="174">
        <f>N20+S11</f>
        <v>0</v>
      </c>
    </row>
    <row r="25" spans="1:20" ht="15" thickBot="1">
      <c r="A25" s="148" t="s">
        <v>252</v>
      </c>
      <c r="B25" s="175"/>
      <c r="C25" s="175"/>
      <c r="D25" s="175"/>
      <c r="E25" s="175"/>
      <c r="F25" s="175"/>
      <c r="G25" s="175"/>
      <c r="H25" s="175"/>
      <c r="I25" s="175"/>
      <c r="J25" s="175"/>
      <c r="K25" s="175"/>
      <c r="L25" s="175"/>
      <c r="M25" s="175"/>
      <c r="N25" s="176"/>
      <c r="P25" s="177"/>
      <c r="Q25" s="172" t="s">
        <v>13</v>
      </c>
      <c r="R25" s="173"/>
      <c r="S25" s="174">
        <f>N21+S12</f>
        <v>0</v>
      </c>
    </row>
    <row r="26" spans="1:20">
      <c r="A26" s="126" t="str">
        <f>T(給与計算!B23)</f>
        <v>源泉所得税</v>
      </c>
      <c r="B26" s="125"/>
      <c r="C26" s="125"/>
      <c r="D26" s="125"/>
      <c r="E26" s="125"/>
      <c r="F26" s="125"/>
      <c r="G26" s="125"/>
      <c r="H26" s="125"/>
      <c r="I26" s="125"/>
      <c r="J26" s="125"/>
      <c r="K26" s="125"/>
      <c r="L26" s="125"/>
      <c r="M26" s="125"/>
      <c r="N26" s="124">
        <f t="shared" ref="N26:N32" si="1">SUM(B26:M26)</f>
        <v>0</v>
      </c>
      <c r="P26" s="177"/>
      <c r="Q26" s="172" t="s">
        <v>100</v>
      </c>
      <c r="R26" s="173"/>
      <c r="S26" s="174">
        <f>N22+S13</f>
        <v>0</v>
      </c>
    </row>
    <row r="27" spans="1:20">
      <c r="A27" s="126" t="str">
        <f>T(給与計算!B24)</f>
        <v>年末調整</v>
      </c>
      <c r="B27" s="123"/>
      <c r="C27" s="123"/>
      <c r="D27" s="123"/>
      <c r="E27" s="123"/>
      <c r="F27" s="123"/>
      <c r="G27" s="123"/>
      <c r="H27" s="123"/>
      <c r="I27" s="123"/>
      <c r="J27" s="123"/>
      <c r="K27" s="123"/>
      <c r="L27" s="123"/>
      <c r="M27" s="123"/>
      <c r="N27" s="127">
        <f t="shared" si="1"/>
        <v>0</v>
      </c>
      <c r="P27" s="177"/>
      <c r="Q27" s="172" t="s">
        <v>15</v>
      </c>
      <c r="R27" s="173"/>
      <c r="S27" s="174">
        <f>N26+N27+S17+S33</f>
        <v>0</v>
      </c>
      <c r="T27" s="164">
        <f>N26+N27+S17</f>
        <v>0</v>
      </c>
    </row>
    <row r="28" spans="1:20">
      <c r="A28" s="126" t="str">
        <f>T(給与計算!B25)</f>
        <v>住民税</v>
      </c>
      <c r="B28" s="178"/>
      <c r="C28" s="178"/>
      <c r="D28" s="178"/>
      <c r="E28" s="178"/>
      <c r="F28" s="178"/>
      <c r="G28" s="178"/>
      <c r="H28" s="178"/>
      <c r="I28" s="178"/>
      <c r="J28" s="178"/>
      <c r="K28" s="178"/>
      <c r="L28" s="178"/>
      <c r="M28" s="178"/>
      <c r="N28" s="179">
        <f t="shared" si="1"/>
        <v>0</v>
      </c>
      <c r="P28" s="177"/>
      <c r="Q28" s="172" t="s">
        <v>260</v>
      </c>
      <c r="R28" s="173"/>
      <c r="S28" s="174">
        <f>N28</f>
        <v>0</v>
      </c>
    </row>
    <row r="29" spans="1:20">
      <c r="A29" s="126" t="str">
        <f>T(給与計算!B26)</f>
        <v>賄費</v>
      </c>
      <c r="B29" s="178"/>
      <c r="C29" s="178"/>
      <c r="D29" s="178"/>
      <c r="E29" s="178"/>
      <c r="F29" s="178"/>
      <c r="G29" s="178"/>
      <c r="H29" s="178"/>
      <c r="I29" s="178"/>
      <c r="J29" s="178"/>
      <c r="K29" s="178"/>
      <c r="L29" s="178"/>
      <c r="M29" s="178"/>
      <c r="N29" s="179">
        <f t="shared" si="1"/>
        <v>0</v>
      </c>
      <c r="P29" s="177"/>
      <c r="Q29" s="172"/>
      <c r="R29" s="173"/>
      <c r="S29" s="174"/>
    </row>
    <row r="30" spans="1:20">
      <c r="A30" s="126" t="str">
        <f>T(給与計算!B27)</f>
        <v>寮費</v>
      </c>
      <c r="B30" s="178"/>
      <c r="C30" s="178"/>
      <c r="D30" s="178"/>
      <c r="E30" s="178"/>
      <c r="F30" s="178"/>
      <c r="G30" s="178"/>
      <c r="H30" s="178"/>
      <c r="I30" s="178"/>
      <c r="J30" s="178"/>
      <c r="K30" s="178"/>
      <c r="L30" s="178"/>
      <c r="M30" s="178"/>
      <c r="N30" s="179">
        <f t="shared" si="1"/>
        <v>0</v>
      </c>
      <c r="P30" s="180"/>
      <c r="Q30" s="172" t="s">
        <v>141</v>
      </c>
      <c r="R30" s="173"/>
      <c r="S30" s="174">
        <f>SUM(N29:N31)</f>
        <v>0</v>
      </c>
      <c r="T30" s="164">
        <f>SUM(S24:S30)</f>
        <v>0</v>
      </c>
    </row>
    <row r="31" spans="1:20" ht="15" thickBot="1">
      <c r="A31" s="126" t="str">
        <f>T(給与計算!B28)</f>
        <v>その他</v>
      </c>
      <c r="B31" s="181"/>
      <c r="C31" s="181"/>
      <c r="D31" s="181"/>
      <c r="E31" s="181"/>
      <c r="F31" s="181"/>
      <c r="G31" s="181"/>
      <c r="H31" s="181"/>
      <c r="I31" s="181"/>
      <c r="J31" s="181"/>
      <c r="K31" s="181"/>
      <c r="L31" s="181"/>
      <c r="M31" s="181"/>
      <c r="N31" s="182">
        <f t="shared" si="1"/>
        <v>0</v>
      </c>
      <c r="P31" s="183" t="s">
        <v>147</v>
      </c>
      <c r="Q31" s="184"/>
      <c r="R31" s="185"/>
      <c r="S31" s="186">
        <f>S23-T30</f>
        <v>0</v>
      </c>
      <c r="T31" s="164">
        <f>N34+S20</f>
        <v>0</v>
      </c>
    </row>
    <row r="32" spans="1:20" ht="15" thickBot="1">
      <c r="A32" s="129" t="s">
        <v>124</v>
      </c>
      <c r="B32" s="130"/>
      <c r="C32" s="130"/>
      <c r="D32" s="130"/>
      <c r="E32" s="130"/>
      <c r="F32" s="130"/>
      <c r="G32" s="130"/>
      <c r="H32" s="130"/>
      <c r="I32" s="130"/>
      <c r="J32" s="130"/>
      <c r="K32" s="130"/>
      <c r="L32" s="130"/>
      <c r="M32" s="130"/>
      <c r="N32" s="131">
        <f t="shared" si="1"/>
        <v>0</v>
      </c>
    </row>
    <row r="33" spans="1:20" ht="15" thickBot="1">
      <c r="A33" s="155"/>
      <c r="B33" s="156"/>
      <c r="C33" s="156"/>
      <c r="D33" s="156"/>
      <c r="E33" s="156"/>
      <c r="F33" s="156"/>
      <c r="G33" s="156"/>
      <c r="H33" s="156"/>
      <c r="I33" s="156"/>
      <c r="J33" s="156"/>
      <c r="K33" s="156"/>
      <c r="L33" s="156"/>
      <c r="M33" s="156"/>
      <c r="N33" s="156"/>
      <c r="P33" s="155"/>
      <c r="R33" s="155"/>
      <c r="S33" s="164"/>
      <c r="T33" s="164"/>
    </row>
    <row r="34" spans="1:20" ht="15" thickBot="1">
      <c r="A34" s="159" t="s">
        <v>165</v>
      </c>
      <c r="B34" s="160"/>
      <c r="C34" s="160"/>
      <c r="D34" s="160"/>
      <c r="E34" s="160"/>
      <c r="F34" s="160"/>
      <c r="G34" s="160"/>
      <c r="H34" s="160"/>
      <c r="I34" s="160"/>
      <c r="J34" s="160"/>
      <c r="K34" s="160"/>
      <c r="L34" s="160"/>
      <c r="M34" s="160"/>
      <c r="N34" s="187">
        <f>SUM(B34:M34)</f>
        <v>0</v>
      </c>
    </row>
    <row r="35" spans="1:20">
      <c r="B35" s="164">
        <f>B18-B32</f>
        <v>0</v>
      </c>
      <c r="C35" s="164">
        <f t="shared" ref="C35:F35" si="2">C18-C32</f>
        <v>0</v>
      </c>
      <c r="D35" s="164">
        <f t="shared" si="2"/>
        <v>0</v>
      </c>
      <c r="E35" s="164">
        <f t="shared" si="2"/>
        <v>0</v>
      </c>
      <c r="F35" s="164">
        <f t="shared" si="2"/>
        <v>0</v>
      </c>
      <c r="G35" s="164">
        <f t="shared" ref="G35:M35" si="3">G18-G32</f>
        <v>0</v>
      </c>
      <c r="H35" s="164">
        <f t="shared" si="3"/>
        <v>0</v>
      </c>
      <c r="I35" s="164">
        <f t="shared" si="3"/>
        <v>0</v>
      </c>
      <c r="J35" s="164">
        <f t="shared" si="3"/>
        <v>0</v>
      </c>
      <c r="K35" s="164">
        <f t="shared" si="3"/>
        <v>0</v>
      </c>
      <c r="L35" s="164">
        <f t="shared" si="3"/>
        <v>0</v>
      </c>
      <c r="M35" s="164">
        <f t="shared" si="3"/>
        <v>0</v>
      </c>
      <c r="N35" s="164">
        <f>SUM(B35:M35)</f>
        <v>0</v>
      </c>
    </row>
  </sheetData>
  <mergeCells count="3">
    <mergeCell ref="C3:D3"/>
    <mergeCell ref="C2:D2"/>
    <mergeCell ref="C1:D1"/>
  </mergeCells>
  <phoneticPr fontId="9"/>
  <conditionalFormatting sqref="B35:F35 Q21:S21 N35">
    <cfRule type="cellIs" dxfId="8" priority="8" stopIfTrue="1" operator="notEqual">
      <formula>B20</formula>
    </cfRule>
  </conditionalFormatting>
  <conditionalFormatting sqref="T31">
    <cfRule type="cellIs" dxfId="7" priority="9" stopIfTrue="1" operator="notEqual">
      <formula>$S$31+$S$33</formula>
    </cfRule>
  </conditionalFormatting>
  <conditionalFormatting sqref="G35">
    <cfRule type="cellIs" dxfId="6" priority="7" stopIfTrue="1" operator="notEqual">
      <formula>G34</formula>
    </cfRule>
  </conditionalFormatting>
  <conditionalFormatting sqref="H35">
    <cfRule type="cellIs" dxfId="5" priority="6" stopIfTrue="1" operator="notEqual">
      <formula>H34</formula>
    </cfRule>
  </conditionalFormatting>
  <conditionalFormatting sqref="I35">
    <cfRule type="cellIs" dxfId="4" priority="5" stopIfTrue="1" operator="notEqual">
      <formula>I34</formula>
    </cfRule>
  </conditionalFormatting>
  <conditionalFormatting sqref="J35">
    <cfRule type="cellIs" dxfId="3" priority="4" stopIfTrue="1" operator="notEqual">
      <formula>J34</formula>
    </cfRule>
  </conditionalFormatting>
  <conditionalFormatting sqref="K35">
    <cfRule type="cellIs" dxfId="2" priority="3" stopIfTrue="1" operator="notEqual">
      <formula>K34</formula>
    </cfRule>
  </conditionalFormatting>
  <conditionalFormatting sqref="L35">
    <cfRule type="cellIs" dxfId="1" priority="2" stopIfTrue="1" operator="notEqual">
      <formula>L34</formula>
    </cfRule>
  </conditionalFormatting>
  <conditionalFormatting sqref="M35">
    <cfRule type="cellIs" dxfId="0" priority="1" stopIfTrue="1" operator="notEqual">
      <formula>M34</formula>
    </cfRule>
  </conditionalFormatting>
  <printOptions gridLinesSet="0"/>
  <pageMargins left="0.79000000000000015" right="0.79000000000000015" top="0.79000000000000015" bottom="0.79000000000000015" header="0.39000000000000007" footer="0.39000000000000007"/>
  <pageSetup paperSize="9" scale="64" orientation="landscape" horizontalDpi="4294967292" verticalDpi="4294967292"/>
  <headerFooter alignWithMargins="0">
    <oddHeader>&amp;C&amp;A&amp;R&amp;D</oddHeader>
    <oddFooter>&amp;R&amp;F &amp;A&amp;C株式会社○○△△</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ityou" enableFormatConditionsCalculation="0">
    <pageSetUpPr fitToPage="1"/>
  </sheetPr>
  <dimension ref="A1:AA49"/>
  <sheetViews>
    <sheetView workbookViewId="0">
      <pane xSplit="1" ySplit="5" topLeftCell="E21" activePane="bottomRight" state="frozen"/>
      <selection pane="topRight" activeCell="B1" sqref="B1"/>
      <selection pane="bottomLeft" activeCell="A4" sqref="A4"/>
      <selection pane="bottomRight" activeCell="P37" sqref="P37"/>
    </sheetView>
  </sheetViews>
  <sheetFormatPr baseColWidth="12" defaultColWidth="8.6640625" defaultRowHeight="14" x14ac:dyDescent="0"/>
  <cols>
    <col min="1" max="1" width="13.6640625" style="116" bestFit="1" customWidth="1"/>
    <col min="2" max="14" width="9.33203125" style="116" customWidth="1"/>
    <col min="15" max="15" width="2.1640625" style="116" customWidth="1"/>
    <col min="16" max="20" width="9.33203125" style="116" customWidth="1"/>
    <col min="21" max="21" width="8.6640625" style="116" customWidth="1"/>
    <col min="22" max="22" width="9.6640625" style="116" bestFit="1" customWidth="1"/>
    <col min="23" max="27" width="12.83203125" style="116" bestFit="1" customWidth="1"/>
    <col min="28" max="16384" width="8.6640625" style="116"/>
  </cols>
  <sheetData>
    <row r="1" spans="1:27" ht="15" customHeight="1">
      <c r="B1" s="515" t="s">
        <v>61</v>
      </c>
      <c r="C1" s="529" t="s">
        <v>393</v>
      </c>
      <c r="D1" s="514"/>
      <c r="E1" s="529"/>
      <c r="F1" s="514"/>
      <c r="G1" s="515" t="s">
        <v>7</v>
      </c>
      <c r="H1" s="530"/>
      <c r="I1" s="514" t="str">
        <f>IF(H1="","","（"&amp;U2&amp;"才）")</f>
        <v/>
      </c>
      <c r="J1" s="514"/>
      <c r="K1" s="512" t="str">
        <f>従業者名簿!C5</f>
        <v>従業者番号</v>
      </c>
      <c r="L1" s="531" t="s">
        <v>398</v>
      </c>
      <c r="M1" s="514"/>
      <c r="N1" s="515" t="s">
        <v>299</v>
      </c>
      <c r="O1" s="514"/>
      <c r="P1" s="515" t="s">
        <v>302</v>
      </c>
      <c r="T1" s="556" t="s">
        <v>388</v>
      </c>
      <c r="U1" s="555"/>
      <c r="V1" s="190"/>
      <c r="W1" s="190"/>
      <c r="X1" s="637" t="s">
        <v>241</v>
      </c>
      <c r="Y1" s="637"/>
      <c r="Z1" s="191"/>
      <c r="AA1" s="192">
        <f>A5</f>
        <v>42005</v>
      </c>
    </row>
    <row r="2" spans="1:27" ht="15" customHeight="1">
      <c r="B2" s="515" t="s">
        <v>190</v>
      </c>
      <c r="C2" s="580" t="s">
        <v>401</v>
      </c>
      <c r="D2" s="529" t="s">
        <v>399</v>
      </c>
      <c r="E2" s="514"/>
      <c r="F2" s="514"/>
      <c r="G2" s="515" t="s">
        <v>25</v>
      </c>
      <c r="H2" s="529" t="s">
        <v>394</v>
      </c>
      <c r="I2" s="514"/>
      <c r="J2" s="514"/>
      <c r="K2" s="512" t="str">
        <f>従業者名簿!M5</f>
        <v>基礎年金番号</v>
      </c>
      <c r="L2" s="529" t="s">
        <v>397</v>
      </c>
      <c r="M2" s="514"/>
      <c r="N2" s="193"/>
      <c r="O2" s="115"/>
      <c r="P2" s="446"/>
      <c r="T2" s="556" t="s">
        <v>389</v>
      </c>
      <c r="U2" s="116">
        <f>DATEDIF(H1,台帳合計表!A1,"Y")</f>
        <v>115</v>
      </c>
      <c r="V2" s="633" t="s">
        <v>237</v>
      </c>
      <c r="W2" s="638" t="str">
        <f>T(D2)</f>
        <v>(住所１)</v>
      </c>
      <c r="X2" s="638"/>
      <c r="Y2" s="633" t="s">
        <v>0</v>
      </c>
      <c r="Z2" s="514" t="str">
        <f>T(E1)</f>
        <v/>
      </c>
      <c r="AA2" s="194" t="s">
        <v>59</v>
      </c>
    </row>
    <row r="3" spans="1:27" ht="15" customHeight="1">
      <c r="B3" s="515"/>
      <c r="C3" s="532"/>
      <c r="D3" s="529" t="s">
        <v>400</v>
      </c>
      <c r="E3" s="514"/>
      <c r="F3" s="514"/>
      <c r="G3" s="514"/>
      <c r="H3" s="514"/>
      <c r="I3" s="512"/>
      <c r="J3" s="514"/>
      <c r="K3" s="515" t="str">
        <f>従業者名簿!N5</f>
        <v>介護保険</v>
      </c>
      <c r="L3" s="529" t="s">
        <v>396</v>
      </c>
      <c r="M3" s="514"/>
      <c r="N3" s="527"/>
      <c r="O3" s="514"/>
      <c r="P3" s="527"/>
      <c r="V3" s="634"/>
      <c r="W3" s="635" t="str">
        <f>T(D3)</f>
        <v>(住所２)</v>
      </c>
      <c r="X3" s="635"/>
      <c r="Y3" s="634"/>
      <c r="Z3" s="525" t="str">
        <f>T(C1)</f>
        <v>(氏名)</v>
      </c>
      <c r="AA3" s="526" t="str">
        <f>L1</f>
        <v>(従業員番号)</v>
      </c>
    </row>
    <row r="4" spans="1:27" ht="15" customHeight="1" thickBot="1">
      <c r="B4" s="515" t="s">
        <v>198</v>
      </c>
      <c r="C4" s="532" t="s">
        <v>402</v>
      </c>
      <c r="D4" s="529"/>
      <c r="E4" s="514"/>
      <c r="F4" s="514"/>
      <c r="G4" s="514"/>
      <c r="H4" s="514"/>
      <c r="I4" s="512"/>
      <c r="J4" s="514"/>
      <c r="K4" s="512" t="str">
        <f>従業者名簿!O5</f>
        <v>雇用保険番号</v>
      </c>
      <c r="L4" s="529" t="s">
        <v>395</v>
      </c>
      <c r="M4" s="514"/>
      <c r="N4" s="527"/>
      <c r="O4" s="514"/>
      <c r="P4" s="527"/>
      <c r="V4" s="195" t="s">
        <v>191</v>
      </c>
      <c r="W4" s="196" t="s">
        <v>160</v>
      </c>
      <c r="X4" s="196" t="s">
        <v>168</v>
      </c>
      <c r="Y4" s="195" t="s">
        <v>266</v>
      </c>
      <c r="Z4" s="196" t="s">
        <v>60</v>
      </c>
    </row>
    <row r="5" spans="1:27" ht="15" customHeight="1">
      <c r="A5" s="117">
        <f>台帳合計表!A1</f>
        <v>42005</v>
      </c>
      <c r="B5" s="118" t="s">
        <v>403</v>
      </c>
      <c r="C5" s="119" t="s">
        <v>86</v>
      </c>
      <c r="D5" s="119" t="s">
        <v>205</v>
      </c>
      <c r="E5" s="119" t="s">
        <v>84</v>
      </c>
      <c r="F5" s="119" t="s">
        <v>85</v>
      </c>
      <c r="G5" s="119" t="s">
        <v>16</v>
      </c>
      <c r="H5" s="119" t="s">
        <v>263</v>
      </c>
      <c r="I5" s="118" t="s">
        <v>98</v>
      </c>
      <c r="J5" s="119" t="s">
        <v>262</v>
      </c>
      <c r="K5" s="119" t="s">
        <v>88</v>
      </c>
      <c r="L5" s="119" t="s">
        <v>96</v>
      </c>
      <c r="M5" s="119" t="s">
        <v>179</v>
      </c>
      <c r="N5" s="120" t="s">
        <v>45</v>
      </c>
      <c r="P5" s="121"/>
      <c r="Q5" s="119" t="s">
        <v>404</v>
      </c>
      <c r="R5" s="119" t="s">
        <v>73</v>
      </c>
      <c r="S5" s="120" t="s">
        <v>42</v>
      </c>
      <c r="T5" s="557"/>
      <c r="V5" s="515" t="s">
        <v>156</v>
      </c>
      <c r="W5" s="516">
        <f>H37</f>
        <v>0</v>
      </c>
      <c r="X5" s="516">
        <f>IF(V10=0,H39,0)</f>
        <v>0</v>
      </c>
      <c r="Y5" s="516">
        <f>IF(V10=0,L44,)</f>
        <v>380000</v>
      </c>
      <c r="Z5" s="516">
        <f>IF(V10=0,P42,H38)</f>
        <v>0</v>
      </c>
    </row>
    <row r="6" spans="1:27" ht="15" customHeight="1">
      <c r="A6" s="122" t="s">
        <v>107</v>
      </c>
      <c r="B6" s="125"/>
      <c r="C6" s="125"/>
      <c r="D6" s="125"/>
      <c r="E6" s="125"/>
      <c r="F6" s="125"/>
      <c r="G6" s="125"/>
      <c r="H6" s="125"/>
      <c r="I6" s="125"/>
      <c r="J6" s="125"/>
      <c r="K6" s="125"/>
      <c r="L6" s="125"/>
      <c r="M6" s="125"/>
      <c r="N6" s="124">
        <f t="shared" ref="N6:N18" si="0">SUM(B6:M6)</f>
        <v>0</v>
      </c>
      <c r="P6" s="122" t="s">
        <v>254</v>
      </c>
      <c r="Q6" s="125"/>
      <c r="R6" s="125"/>
      <c r="S6" s="124">
        <f>SUM(Q6:R6)</f>
        <v>0</v>
      </c>
      <c r="T6" s="558"/>
      <c r="V6" s="197" t="s">
        <v>195</v>
      </c>
      <c r="W6" s="526" t="str">
        <f>IF(B38=1,"有","無")&amp;"｜"&amp;IF(B38=2,"老","")</f>
        <v>無｜</v>
      </c>
      <c r="X6" s="197" t="s">
        <v>200</v>
      </c>
      <c r="Y6" s="524">
        <f>L42</f>
        <v>0</v>
      </c>
      <c r="Z6" s="197" t="s">
        <v>157</v>
      </c>
      <c r="AA6" s="525" t="str">
        <f>IF(B39&gt;0,"その他("&amp;B39&amp;")","")&amp;IF(B40&gt;0,"特定("&amp;B40&amp;")","")&amp;IF(B41&gt;0,"年少("&amp;B41&amp;")","")&amp;IF(B42&gt;0,"同老("&amp;B42&amp;")","")&amp;IF(B43&gt;0,"他("&amp;B43&amp;")","")</f>
        <v/>
      </c>
    </row>
    <row r="7" spans="1:27" ht="15" customHeight="1">
      <c r="A7" s="126" t="s">
        <v>105</v>
      </c>
      <c r="B7" s="123"/>
      <c r="C7" s="123"/>
      <c r="D7" s="123"/>
      <c r="E7" s="123"/>
      <c r="F7" s="123"/>
      <c r="G7" s="123"/>
      <c r="H7" s="123"/>
      <c r="I7" s="123"/>
      <c r="J7" s="123"/>
      <c r="K7" s="123"/>
      <c r="L7" s="123"/>
      <c r="M7" s="123"/>
      <c r="N7" s="127">
        <f t="shared" si="0"/>
        <v>0</v>
      </c>
      <c r="P7" s="126" t="s">
        <v>255</v>
      </c>
      <c r="Q7" s="128"/>
      <c r="R7" s="128"/>
      <c r="S7" s="198">
        <f>SUM(Q7:R7)</f>
        <v>0</v>
      </c>
      <c r="T7" s="558"/>
      <c r="V7" s="636" t="s">
        <v>31</v>
      </c>
      <c r="W7" s="199" t="s">
        <v>210</v>
      </c>
      <c r="X7" s="199" t="s">
        <v>212</v>
      </c>
      <c r="Y7" s="200" t="s">
        <v>95</v>
      </c>
      <c r="Z7" s="200" t="s">
        <v>128</v>
      </c>
      <c r="AA7" s="195" t="s">
        <v>278</v>
      </c>
    </row>
    <row r="8" spans="1:27" ht="15" customHeight="1">
      <c r="A8" s="126" t="s">
        <v>89</v>
      </c>
      <c r="B8" s="123"/>
      <c r="C8" s="123"/>
      <c r="D8" s="123"/>
      <c r="E8" s="123"/>
      <c r="F8" s="123"/>
      <c r="G8" s="123"/>
      <c r="H8" s="123"/>
      <c r="I8" s="123"/>
      <c r="J8" s="123"/>
      <c r="K8" s="123"/>
      <c r="L8" s="123"/>
      <c r="M8" s="123"/>
      <c r="N8" s="127">
        <f t="shared" si="0"/>
        <v>0</v>
      </c>
      <c r="P8" s="126" t="s">
        <v>131</v>
      </c>
      <c r="Q8" s="128"/>
      <c r="R8" s="128"/>
      <c r="S8" s="198">
        <f>SUM(Q8:R8)</f>
        <v>0</v>
      </c>
      <c r="T8" s="558"/>
      <c r="V8" s="634"/>
      <c r="W8" s="524">
        <f>L37</f>
        <v>0</v>
      </c>
      <c r="X8" s="524">
        <f>IF(V10=0,L40,0)</f>
        <v>0</v>
      </c>
      <c r="Y8" s="524">
        <f>IF(V10=0,L41,0)</f>
        <v>0</v>
      </c>
      <c r="Z8" s="524">
        <f>IF(V10=0,P40,0)</f>
        <v>0</v>
      </c>
      <c r="AA8" s="524">
        <f>IF(V10=0,-P41,0)</f>
        <v>0</v>
      </c>
    </row>
    <row r="9" spans="1:27" ht="15" customHeight="1" thickBot="1">
      <c r="A9" s="126" t="s">
        <v>32</v>
      </c>
      <c r="B9" s="123"/>
      <c r="C9" s="123"/>
      <c r="D9" s="123"/>
      <c r="E9" s="123"/>
      <c r="F9" s="123"/>
      <c r="G9" s="123"/>
      <c r="H9" s="123"/>
      <c r="I9" s="123"/>
      <c r="J9" s="123"/>
      <c r="K9" s="123"/>
      <c r="L9" s="123"/>
      <c r="M9" s="123"/>
      <c r="N9" s="127">
        <f t="shared" si="0"/>
        <v>0</v>
      </c>
      <c r="P9" s="129" t="s">
        <v>50</v>
      </c>
      <c r="Q9" s="201"/>
      <c r="R9" s="201"/>
      <c r="S9" s="131">
        <f>SUM(Q9:R9)</f>
        <v>0</v>
      </c>
      <c r="T9" s="559"/>
    </row>
    <row r="10" spans="1:27" ht="15" customHeight="1" thickBot="1">
      <c r="A10" s="126" t="s">
        <v>35</v>
      </c>
      <c r="B10" s="123"/>
      <c r="C10" s="123"/>
      <c r="D10" s="123"/>
      <c r="E10" s="123"/>
      <c r="F10" s="123"/>
      <c r="G10" s="123"/>
      <c r="H10" s="123"/>
      <c r="I10" s="123"/>
      <c r="J10" s="123"/>
      <c r="K10" s="123"/>
      <c r="L10" s="123"/>
      <c r="M10" s="123"/>
      <c r="N10" s="127">
        <f t="shared" si="0"/>
        <v>0</v>
      </c>
      <c r="Q10" s="202"/>
      <c r="R10" s="202"/>
      <c r="T10" s="560"/>
      <c r="V10" s="528">
        <v>0</v>
      </c>
      <c r="W10" s="203" t="s">
        <v>194</v>
      </c>
      <c r="Y10" s="204" t="s">
        <v>174</v>
      </c>
      <c r="Z10" s="514" t="str">
        <f>T(C43)</f>
        <v/>
      </c>
      <c r="AA10" s="514"/>
    </row>
    <row r="11" spans="1:27" ht="15" customHeight="1">
      <c r="A11" s="126" t="s">
        <v>228</v>
      </c>
      <c r="B11" s="123"/>
      <c r="C11" s="123"/>
      <c r="D11" s="123"/>
      <c r="E11" s="123"/>
      <c r="F11" s="123"/>
      <c r="G11" s="123"/>
      <c r="H11" s="123"/>
      <c r="I11" s="123"/>
      <c r="J11" s="123"/>
      <c r="K11" s="123"/>
      <c r="L11" s="123"/>
      <c r="M11" s="123"/>
      <c r="N11" s="127">
        <f t="shared" si="0"/>
        <v>0</v>
      </c>
      <c r="P11" s="132" t="s">
        <v>215</v>
      </c>
      <c r="Q11" s="133"/>
      <c r="R11" s="133"/>
      <c r="S11" s="205">
        <f>SUM(Q11:R11)</f>
        <v>0</v>
      </c>
      <c r="T11" s="561"/>
      <c r="Y11" s="204" t="s">
        <v>213</v>
      </c>
      <c r="Z11" s="527">
        <f>H1</f>
        <v>0</v>
      </c>
      <c r="AA11" s="514"/>
    </row>
    <row r="12" spans="1:27" ht="15" customHeight="1">
      <c r="A12" s="135" t="s">
        <v>264</v>
      </c>
      <c r="B12" s="136"/>
      <c r="C12" s="136"/>
      <c r="D12" s="136"/>
      <c r="E12" s="136"/>
      <c r="F12" s="136"/>
      <c r="G12" s="136"/>
      <c r="H12" s="136"/>
      <c r="I12" s="136"/>
      <c r="J12" s="136"/>
      <c r="K12" s="136"/>
      <c r="L12" s="136"/>
      <c r="M12" s="136"/>
      <c r="N12" s="137">
        <f t="shared" si="0"/>
        <v>0</v>
      </c>
      <c r="P12" s="126" t="s">
        <v>13</v>
      </c>
      <c r="Q12" s="128"/>
      <c r="R12" s="128"/>
      <c r="S12" s="198">
        <f>SUM(Q12:R12)</f>
        <v>0</v>
      </c>
      <c r="T12" s="558"/>
    </row>
    <row r="13" spans="1:27" ht="15" customHeight="1">
      <c r="A13" s="138" t="s">
        <v>163</v>
      </c>
      <c r="B13" s="206"/>
      <c r="C13" s="206"/>
      <c r="D13" s="206"/>
      <c r="E13" s="206"/>
      <c r="F13" s="206"/>
      <c r="G13" s="206"/>
      <c r="H13" s="206"/>
      <c r="I13" s="206"/>
      <c r="J13" s="206"/>
      <c r="K13" s="206"/>
      <c r="L13" s="206"/>
      <c r="M13" s="206"/>
      <c r="N13" s="140">
        <f t="shared" si="0"/>
        <v>0</v>
      </c>
      <c r="P13" s="135" t="s">
        <v>100</v>
      </c>
      <c r="Q13" s="141"/>
      <c r="R13" s="141"/>
      <c r="S13" s="144">
        <f>SUM(Q13:R13)</f>
        <v>0</v>
      </c>
      <c r="T13" s="558"/>
    </row>
    <row r="14" spans="1:27" ht="15" customHeight="1" thickBot="1">
      <c r="A14" s="122" t="s">
        <v>26</v>
      </c>
      <c r="B14" s="142"/>
      <c r="C14" s="142"/>
      <c r="D14" s="142"/>
      <c r="E14" s="142"/>
      <c r="F14" s="142"/>
      <c r="G14" s="142"/>
      <c r="H14" s="142"/>
      <c r="I14" s="142"/>
      <c r="J14" s="142"/>
      <c r="K14" s="142"/>
      <c r="L14" s="142"/>
      <c r="M14" s="142"/>
      <c r="N14" s="143">
        <f t="shared" si="0"/>
        <v>0</v>
      </c>
      <c r="P14" s="138" t="s">
        <v>163</v>
      </c>
      <c r="Q14" s="206"/>
      <c r="R14" s="206"/>
      <c r="S14" s="140">
        <f>SUM(Q14:R14)</f>
        <v>0</v>
      </c>
      <c r="T14" s="559"/>
    </row>
    <row r="15" spans="1:27" ht="15" customHeight="1">
      <c r="A15" s="135" t="s">
        <v>48</v>
      </c>
      <c r="B15" s="141"/>
      <c r="C15" s="141"/>
      <c r="D15" s="141"/>
      <c r="E15" s="141"/>
      <c r="F15" s="141"/>
      <c r="G15" s="141"/>
      <c r="H15" s="141"/>
      <c r="I15" s="141"/>
      <c r="J15" s="141"/>
      <c r="K15" s="141"/>
      <c r="L15" s="141"/>
      <c r="M15" s="141"/>
      <c r="N15" s="144">
        <f t="shared" si="0"/>
        <v>0</v>
      </c>
      <c r="P15" s="145" t="s">
        <v>150</v>
      </c>
      <c r="Q15" s="207"/>
      <c r="R15" s="207"/>
      <c r="S15" s="170">
        <f>SUM(Q15:R15)</f>
        <v>0</v>
      </c>
      <c r="T15" s="559"/>
    </row>
    <row r="16" spans="1:27" ht="15" customHeight="1" thickBot="1">
      <c r="A16" s="138" t="s">
        <v>45</v>
      </c>
      <c r="B16" s="206"/>
      <c r="C16" s="206"/>
      <c r="D16" s="206"/>
      <c r="E16" s="206"/>
      <c r="F16" s="206"/>
      <c r="G16" s="206"/>
      <c r="H16" s="206"/>
      <c r="I16" s="206"/>
      <c r="J16" s="206"/>
      <c r="K16" s="206"/>
      <c r="L16" s="206"/>
      <c r="M16" s="206"/>
      <c r="N16" s="140">
        <f t="shared" si="0"/>
        <v>0</v>
      </c>
      <c r="P16" s="148" t="s">
        <v>133</v>
      </c>
      <c r="Q16" s="149"/>
      <c r="R16" s="149"/>
      <c r="S16" s="208"/>
      <c r="T16" s="562"/>
    </row>
    <row r="17" spans="1:20" ht="15" customHeight="1">
      <c r="A17" s="151" t="s">
        <v>1</v>
      </c>
      <c r="B17" s="152"/>
      <c r="C17" s="152"/>
      <c r="D17" s="152"/>
      <c r="E17" s="152"/>
      <c r="F17" s="152"/>
      <c r="G17" s="152"/>
      <c r="H17" s="152"/>
      <c r="I17" s="152"/>
      <c r="J17" s="152"/>
      <c r="K17" s="152"/>
      <c r="L17" s="152"/>
      <c r="M17" s="152"/>
      <c r="N17" s="153">
        <f t="shared" si="0"/>
        <v>0</v>
      </c>
      <c r="P17" s="122" t="s">
        <v>15</v>
      </c>
      <c r="Q17" s="209"/>
      <c r="R17" s="209"/>
      <c r="S17" s="124">
        <f>SUM(Q17:R17)</f>
        <v>0</v>
      </c>
      <c r="T17" s="558"/>
    </row>
    <row r="18" spans="1:20" ht="15" customHeight="1" thickBot="1">
      <c r="A18" s="129" t="s">
        <v>50</v>
      </c>
      <c r="B18" s="201"/>
      <c r="C18" s="201"/>
      <c r="D18" s="201"/>
      <c r="E18" s="201"/>
      <c r="F18" s="201"/>
      <c r="G18" s="201"/>
      <c r="H18" s="201"/>
      <c r="I18" s="201"/>
      <c r="J18" s="201"/>
      <c r="K18" s="201"/>
      <c r="L18" s="201"/>
      <c r="M18" s="201"/>
      <c r="N18" s="131">
        <f t="shared" si="0"/>
        <v>0</v>
      </c>
      <c r="P18" s="129" t="s">
        <v>124</v>
      </c>
      <c r="Q18" s="201"/>
      <c r="R18" s="201"/>
      <c r="S18" s="131">
        <f>SUM(Q18:R18)</f>
        <v>0</v>
      </c>
      <c r="T18" s="559"/>
    </row>
    <row r="19" spans="1:20" ht="15" customHeight="1" thickBot="1">
      <c r="B19" s="202"/>
      <c r="C19" s="202"/>
      <c r="D19" s="202"/>
      <c r="E19" s="202"/>
      <c r="F19" s="202"/>
      <c r="G19" s="202"/>
      <c r="H19" s="202"/>
      <c r="I19" s="202"/>
      <c r="J19" s="202"/>
      <c r="K19" s="202"/>
      <c r="L19" s="202"/>
      <c r="M19" s="202"/>
      <c r="P19" s="155"/>
      <c r="Q19" s="210"/>
      <c r="R19" s="210"/>
      <c r="S19" s="156"/>
      <c r="T19" s="563"/>
    </row>
    <row r="20" spans="1:20" ht="15" customHeight="1" thickBot="1">
      <c r="A20" s="132" t="s">
        <v>215</v>
      </c>
      <c r="B20" s="211"/>
      <c r="C20" s="211"/>
      <c r="D20" s="211"/>
      <c r="E20" s="211"/>
      <c r="F20" s="211"/>
      <c r="G20" s="211"/>
      <c r="H20" s="211"/>
      <c r="I20" s="211"/>
      <c r="J20" s="211"/>
      <c r="K20" s="211"/>
      <c r="L20" s="211"/>
      <c r="M20" s="211"/>
      <c r="N20" s="158">
        <f t="shared" ref="N20:N32" si="1">SUM(B20:M20)</f>
        <v>0</v>
      </c>
      <c r="P20" s="159" t="s">
        <v>165</v>
      </c>
      <c r="Q20" s="212"/>
      <c r="R20" s="212"/>
      <c r="S20" s="161">
        <f>SUM(Q20:R20)</f>
        <v>0</v>
      </c>
      <c r="T20" s="564"/>
    </row>
    <row r="21" spans="1:20" ht="15" customHeight="1">
      <c r="A21" s="126" t="s">
        <v>13</v>
      </c>
      <c r="B21" s="123"/>
      <c r="C21" s="123"/>
      <c r="D21" s="123"/>
      <c r="E21" s="123"/>
      <c r="F21" s="123"/>
      <c r="G21" s="123"/>
      <c r="H21" s="123"/>
      <c r="I21" s="123"/>
      <c r="J21" s="123"/>
      <c r="K21" s="123"/>
      <c r="L21" s="123"/>
      <c r="M21" s="123"/>
      <c r="N21" s="163">
        <f t="shared" si="1"/>
        <v>0</v>
      </c>
    </row>
    <row r="22" spans="1:20" ht="15" customHeight="1">
      <c r="A22" s="135" t="s">
        <v>100</v>
      </c>
      <c r="B22" s="141"/>
      <c r="C22" s="141"/>
      <c r="D22" s="141"/>
      <c r="E22" s="141"/>
      <c r="F22" s="141"/>
      <c r="G22" s="141"/>
      <c r="H22" s="141"/>
      <c r="I22" s="141"/>
      <c r="J22" s="141"/>
      <c r="K22" s="141"/>
      <c r="L22" s="141"/>
      <c r="M22" s="141"/>
      <c r="N22" s="144">
        <f t="shared" si="1"/>
        <v>0</v>
      </c>
      <c r="P22" s="116" t="s">
        <v>209</v>
      </c>
      <c r="Q22" s="164">
        <f>B18+C18</f>
        <v>0</v>
      </c>
    </row>
    <row r="23" spans="1:20" ht="15" customHeight="1" thickBot="1">
      <c r="A23" s="138" t="s">
        <v>163</v>
      </c>
      <c r="B23" s="206"/>
      <c r="C23" s="206"/>
      <c r="D23" s="206"/>
      <c r="E23" s="206"/>
      <c r="F23" s="206"/>
      <c r="G23" s="206"/>
      <c r="H23" s="206"/>
      <c r="I23" s="206"/>
      <c r="J23" s="206"/>
      <c r="K23" s="206"/>
      <c r="L23" s="206"/>
      <c r="M23" s="206"/>
      <c r="N23" s="140">
        <f t="shared" si="1"/>
        <v>0</v>
      </c>
      <c r="P23" s="116" t="s">
        <v>173</v>
      </c>
      <c r="Q23" s="164">
        <f>SUM(D18:M18)</f>
        <v>0</v>
      </c>
    </row>
    <row r="24" spans="1:20" ht="15" customHeight="1" thickBot="1">
      <c r="A24" s="145" t="s">
        <v>150</v>
      </c>
      <c r="B24" s="213"/>
      <c r="C24" s="213"/>
      <c r="D24" s="213"/>
      <c r="E24" s="213"/>
      <c r="F24" s="213"/>
      <c r="G24" s="213"/>
      <c r="H24" s="213"/>
      <c r="I24" s="213"/>
      <c r="J24" s="213"/>
      <c r="K24" s="213"/>
      <c r="L24" s="213"/>
      <c r="M24" s="213"/>
      <c r="N24" s="170">
        <f t="shared" si="1"/>
        <v>0</v>
      </c>
    </row>
    <row r="25" spans="1:20" ht="15" customHeight="1" thickBot="1">
      <c r="A25" s="148" t="s">
        <v>252</v>
      </c>
      <c r="B25" s="175"/>
      <c r="C25" s="175"/>
      <c r="D25" s="214"/>
      <c r="E25" s="175"/>
      <c r="F25" s="175"/>
      <c r="G25" s="175"/>
      <c r="H25" s="175"/>
      <c r="I25" s="175"/>
      <c r="J25" s="175"/>
      <c r="K25" s="175"/>
      <c r="L25" s="175"/>
      <c r="M25" s="175"/>
      <c r="N25" s="176">
        <f t="shared" si="1"/>
        <v>0</v>
      </c>
      <c r="P25" s="215" t="s">
        <v>182</v>
      </c>
      <c r="Q25" s="216"/>
      <c r="R25" s="330" t="str">
        <f>T(C1)</f>
        <v>(氏名)</v>
      </c>
    </row>
    <row r="26" spans="1:20" ht="15" customHeight="1">
      <c r="A26" s="126" t="str">
        <f>T(給与計算!B23)</f>
        <v>源泉所得税</v>
      </c>
      <c r="B26" s="125"/>
      <c r="C26" s="125"/>
      <c r="D26" s="125"/>
      <c r="E26" s="125"/>
      <c r="F26" s="125"/>
      <c r="G26" s="125"/>
      <c r="H26" s="125"/>
      <c r="I26" s="125"/>
      <c r="J26" s="125"/>
      <c r="K26" s="125"/>
      <c r="L26" s="125"/>
      <c r="M26" s="125"/>
      <c r="N26" s="124">
        <f t="shared" si="1"/>
        <v>0</v>
      </c>
      <c r="P26" s="138" t="s">
        <v>273</v>
      </c>
      <c r="Q26" s="189">
        <f>E18</f>
        <v>0</v>
      </c>
      <c r="R26" s="217"/>
    </row>
    <row r="27" spans="1:20" ht="15" customHeight="1">
      <c r="A27" s="126" t="str">
        <f>T(給与計算!B24)</f>
        <v>年末調整</v>
      </c>
      <c r="B27" s="123"/>
      <c r="C27" s="123"/>
      <c r="D27" s="123"/>
      <c r="E27" s="123"/>
      <c r="F27" s="123"/>
      <c r="G27" s="123"/>
      <c r="H27" s="123"/>
      <c r="I27" s="123"/>
      <c r="J27" s="123"/>
      <c r="K27" s="123"/>
      <c r="L27" s="123"/>
      <c r="M27" s="123"/>
      <c r="N27" s="127">
        <f t="shared" si="1"/>
        <v>0</v>
      </c>
      <c r="P27" s="138" t="s">
        <v>85</v>
      </c>
      <c r="Q27" s="189">
        <f>F18</f>
        <v>0</v>
      </c>
      <c r="R27" s="218" t="s">
        <v>279</v>
      </c>
    </row>
    <row r="28" spans="1:20" ht="15" customHeight="1">
      <c r="A28" s="126" t="str">
        <f>T(給与計算!B25)</f>
        <v>住民税</v>
      </c>
      <c r="B28" s="178"/>
      <c r="C28" s="178"/>
      <c r="D28" s="178"/>
      <c r="E28" s="178"/>
      <c r="F28" s="178"/>
      <c r="G28" s="178"/>
      <c r="H28" s="178"/>
      <c r="I28" s="178"/>
      <c r="J28" s="178"/>
      <c r="K28" s="178"/>
      <c r="L28" s="178"/>
      <c r="M28" s="178"/>
      <c r="N28" s="179">
        <f t="shared" si="1"/>
        <v>0</v>
      </c>
      <c r="P28" s="138" t="s">
        <v>16</v>
      </c>
      <c r="Q28" s="189">
        <f>G18</f>
        <v>0</v>
      </c>
      <c r="R28" s="219"/>
    </row>
    <row r="29" spans="1:20" ht="15" customHeight="1">
      <c r="A29" s="126" t="str">
        <f>T(給与計算!B26)</f>
        <v>賄費</v>
      </c>
      <c r="B29" s="178"/>
      <c r="C29" s="178"/>
      <c r="D29" s="178"/>
      <c r="E29" s="178"/>
      <c r="F29" s="178"/>
      <c r="G29" s="178"/>
      <c r="H29" s="178"/>
      <c r="I29" s="178"/>
      <c r="J29" s="178"/>
      <c r="K29" s="178"/>
      <c r="L29" s="178"/>
      <c r="M29" s="178"/>
      <c r="N29" s="179">
        <f t="shared" si="1"/>
        <v>0</v>
      </c>
      <c r="P29" s="533" t="s">
        <v>45</v>
      </c>
      <c r="Q29" s="534">
        <f>SUM(Q26:Q28)</f>
        <v>0</v>
      </c>
      <c r="R29" s="535" t="s">
        <v>223</v>
      </c>
    </row>
    <row r="30" spans="1:20" ht="15" customHeight="1">
      <c r="A30" s="126" t="str">
        <f>T(給与計算!B27)</f>
        <v>寮費</v>
      </c>
      <c r="B30" s="178"/>
      <c r="C30" s="178"/>
      <c r="D30" s="220"/>
      <c r="E30" s="178"/>
      <c r="F30" s="178"/>
      <c r="G30" s="178"/>
      <c r="H30" s="178"/>
      <c r="I30" s="178"/>
      <c r="J30" s="178"/>
      <c r="K30" s="178"/>
      <c r="L30" s="178"/>
      <c r="M30" s="178"/>
      <c r="N30" s="179">
        <f t="shared" si="1"/>
        <v>0</v>
      </c>
      <c r="P30" s="221" t="s">
        <v>40</v>
      </c>
      <c r="Q30" s="222">
        <f>Q29/3</f>
        <v>0</v>
      </c>
      <c r="R30" s="217" t="s">
        <v>109</v>
      </c>
    </row>
    <row r="31" spans="1:20" ht="15" customHeight="1">
      <c r="A31" s="126" t="str">
        <f>T(給与計算!B28)</f>
        <v>その他</v>
      </c>
      <c r="B31" s="181"/>
      <c r="C31" s="181"/>
      <c r="D31" s="223"/>
      <c r="E31" s="181"/>
      <c r="F31" s="181"/>
      <c r="G31" s="181"/>
      <c r="H31" s="181"/>
      <c r="I31" s="181"/>
      <c r="J31" s="181"/>
      <c r="K31" s="181"/>
      <c r="L31" s="181"/>
      <c r="M31" s="181"/>
      <c r="N31" s="182">
        <f t="shared" si="1"/>
        <v>0</v>
      </c>
      <c r="P31" s="138" t="s">
        <v>83</v>
      </c>
      <c r="Q31" s="188">
        <f>VLOOKUP(Q30/1000,保険料額表!$E$6:$H$44,2)</f>
        <v>1</v>
      </c>
      <c r="R31" s="224" t="s">
        <v>280</v>
      </c>
    </row>
    <row r="32" spans="1:20" ht="15" customHeight="1" thickBot="1">
      <c r="A32" s="129" t="s">
        <v>124</v>
      </c>
      <c r="B32" s="201"/>
      <c r="C32" s="201"/>
      <c r="D32" s="201"/>
      <c r="E32" s="201"/>
      <c r="F32" s="201"/>
      <c r="G32" s="201"/>
      <c r="H32" s="201"/>
      <c r="I32" s="201"/>
      <c r="J32" s="201"/>
      <c r="K32" s="201"/>
      <c r="L32" s="201"/>
      <c r="M32" s="201"/>
      <c r="N32" s="131">
        <f t="shared" si="1"/>
        <v>0</v>
      </c>
      <c r="P32" s="138" t="s">
        <v>69</v>
      </c>
      <c r="Q32" s="188">
        <f>IF(Q31&gt;34,34,Q31)</f>
        <v>1</v>
      </c>
      <c r="R32" s="224" t="s">
        <v>231</v>
      </c>
    </row>
    <row r="33" spans="1:18" ht="15" customHeight="1" thickBot="1">
      <c r="A33" s="155"/>
      <c r="B33" s="210"/>
      <c r="C33" s="210"/>
      <c r="D33" s="202"/>
      <c r="E33" s="210"/>
      <c r="F33" s="210"/>
      <c r="G33" s="210"/>
      <c r="H33" s="210"/>
      <c r="I33" s="210"/>
      <c r="J33" s="210"/>
      <c r="K33" s="210"/>
      <c r="L33" s="210"/>
      <c r="M33" s="210"/>
      <c r="N33" s="156"/>
      <c r="P33" s="533" t="s">
        <v>199</v>
      </c>
      <c r="Q33" s="536">
        <f>VLOOKUP(Q31,保険料額表!$F$6:$J$53,5)</f>
        <v>58</v>
      </c>
      <c r="R33" s="535" t="s">
        <v>280</v>
      </c>
    </row>
    <row r="34" spans="1:18" ht="15" customHeight="1" thickBot="1">
      <c r="A34" s="159" t="s">
        <v>165</v>
      </c>
      <c r="B34" s="212"/>
      <c r="C34" s="212"/>
      <c r="D34" s="212"/>
      <c r="E34" s="212"/>
      <c r="F34" s="212"/>
      <c r="G34" s="212"/>
      <c r="H34" s="212"/>
      <c r="I34" s="212"/>
      <c r="J34" s="212"/>
      <c r="K34" s="212"/>
      <c r="L34" s="212"/>
      <c r="M34" s="212"/>
      <c r="N34" s="187">
        <f>SUM(B34:M34)</f>
        <v>0</v>
      </c>
      <c r="P34" s="537" t="s">
        <v>230</v>
      </c>
      <c r="Q34" s="538">
        <f>VLOOKUP(Q32,保険料額表!$F$6:$J$53,5)</f>
        <v>58</v>
      </c>
      <c r="R34" s="539" t="s">
        <v>231</v>
      </c>
    </row>
    <row r="35" spans="1:18" ht="15" customHeight="1"/>
    <row r="36" spans="1:18" ht="15" customHeight="1">
      <c r="A36" s="225" t="s">
        <v>267</v>
      </c>
      <c r="B36" s="226"/>
      <c r="C36" s="226"/>
      <c r="D36" s="226"/>
      <c r="E36" s="227" t="s">
        <v>22</v>
      </c>
      <c r="F36" s="228" t="s">
        <v>152</v>
      </c>
      <c r="G36" s="229"/>
      <c r="H36" s="230" t="s">
        <v>22</v>
      </c>
      <c r="I36" s="229"/>
      <c r="J36" s="231"/>
      <c r="K36" s="229"/>
      <c r="L36" s="230" t="s">
        <v>22</v>
      </c>
      <c r="M36" s="229"/>
      <c r="N36" s="232"/>
      <c r="O36" s="229"/>
      <c r="P36" s="230" t="s">
        <v>22</v>
      </c>
      <c r="Q36" s="233"/>
    </row>
    <row r="37" spans="1:18" ht="15" customHeight="1" thickBot="1">
      <c r="A37" s="511" t="s">
        <v>77</v>
      </c>
      <c r="E37" s="164">
        <f>年末調整計算!D3</f>
        <v>380000</v>
      </c>
      <c r="F37" s="234" t="s">
        <v>78</v>
      </c>
      <c r="G37" s="511" t="s">
        <v>91</v>
      </c>
      <c r="H37" s="235">
        <f>N16+S9+H42</f>
        <v>0</v>
      </c>
      <c r="I37" s="234" t="s">
        <v>148</v>
      </c>
      <c r="J37" s="518" t="s">
        <v>170</v>
      </c>
      <c r="K37" s="519"/>
      <c r="L37" s="236">
        <f>N23+S14+H43</f>
        <v>0</v>
      </c>
      <c r="M37" s="234" t="s">
        <v>29</v>
      </c>
      <c r="N37" s="511" t="s">
        <v>216</v>
      </c>
      <c r="O37" s="511"/>
      <c r="P37" s="237">
        <f>INT((H39-L44)/1000)*1000</f>
        <v>-380000</v>
      </c>
    </row>
    <row r="38" spans="1:18" ht="15" customHeight="1" thickTop="1">
      <c r="A38" s="511" t="s">
        <v>227</v>
      </c>
      <c r="B38" s="520">
        <v>0</v>
      </c>
      <c r="C38" s="116" t="s">
        <v>201</v>
      </c>
      <c r="E38" s="156">
        <f>IF(B38=1,年末調整計算!D4,IF(B38=2,年末調整計算!D5,0))</f>
        <v>0</v>
      </c>
      <c r="F38" s="234" t="s">
        <v>202</v>
      </c>
      <c r="G38" s="511" t="s">
        <v>15</v>
      </c>
      <c r="H38" s="238">
        <f>N26+S17+N27+H44</f>
        <v>0</v>
      </c>
      <c r="I38" s="234" t="s">
        <v>235</v>
      </c>
      <c r="J38" s="518" t="s">
        <v>234</v>
      </c>
      <c r="K38" s="519"/>
      <c r="L38" s="523"/>
      <c r="N38" s="413"/>
      <c r="O38" s="413"/>
      <c r="P38" s="155" t="s">
        <v>206</v>
      </c>
    </row>
    <row r="39" spans="1:18" ht="15" customHeight="1">
      <c r="A39" s="511" t="s">
        <v>23</v>
      </c>
      <c r="B39" s="520">
        <v>0</v>
      </c>
      <c r="C39" s="116" t="s">
        <v>63</v>
      </c>
      <c r="E39" s="156">
        <f>B39*年末調整計算!D6</f>
        <v>0</v>
      </c>
      <c r="F39" s="234" t="s">
        <v>175</v>
      </c>
      <c r="G39" s="517" t="s">
        <v>94</v>
      </c>
      <c r="H39" s="235">
        <f>H49</f>
        <v>0</v>
      </c>
      <c r="I39" s="234" t="s">
        <v>259</v>
      </c>
      <c r="J39" s="518" t="s">
        <v>80</v>
      </c>
      <c r="K39" s="519"/>
      <c r="L39" s="523"/>
      <c r="N39" s="511" t="s">
        <v>71</v>
      </c>
      <c r="O39" s="511"/>
      <c r="P39" s="239">
        <f>IF(P37&lt;=0,0,P37*VLOOKUP(P37,年末調整計算!B40:D45,2)-VLOOKUP(P37,年末調整計算!B40:D45,3))</f>
        <v>0</v>
      </c>
    </row>
    <row r="40" spans="1:18" ht="15" customHeight="1" thickBot="1">
      <c r="A40" s="511" t="s">
        <v>81</v>
      </c>
      <c r="B40" s="520">
        <v>0</v>
      </c>
      <c r="C40" s="116" t="s">
        <v>63</v>
      </c>
      <c r="E40" s="156">
        <f>B40*年末調整計算!D7</f>
        <v>0</v>
      </c>
      <c r="G40" s="203" t="str">
        <f>IF(G49&lt;20000000,"","年末調整対象外")</f>
        <v/>
      </c>
      <c r="I40" s="234" t="s">
        <v>185</v>
      </c>
      <c r="J40" s="518" t="s">
        <v>117</v>
      </c>
      <c r="K40" s="519"/>
      <c r="L40" s="523"/>
      <c r="M40" s="234" t="s">
        <v>140</v>
      </c>
      <c r="N40" s="511" t="s">
        <v>33</v>
      </c>
      <c r="O40" s="511"/>
      <c r="P40" s="523"/>
      <c r="Q40" s="164">
        <f>P39-P40</f>
        <v>0</v>
      </c>
    </row>
    <row r="41" spans="1:18" ht="15" customHeight="1">
      <c r="A41" s="511"/>
      <c r="B41" s="520">
        <v>0</v>
      </c>
      <c r="C41" s="116" t="s">
        <v>63</v>
      </c>
      <c r="E41" s="156">
        <f>B41*年末調整計算!D8</f>
        <v>0</v>
      </c>
      <c r="G41" s="631" t="s">
        <v>236</v>
      </c>
      <c r="H41" s="632"/>
      <c r="I41" s="234" t="s">
        <v>270</v>
      </c>
      <c r="J41" s="518" t="s">
        <v>294</v>
      </c>
      <c r="K41" s="519"/>
      <c r="L41" s="523"/>
      <c r="N41" s="638" t="s">
        <v>211</v>
      </c>
      <c r="O41" s="638"/>
      <c r="P41" s="240">
        <f>IF(Q41&gt;年末調整計算!D49,-年末調整計算!D49,-Q41)</f>
        <v>0</v>
      </c>
      <c r="Q41" s="156">
        <f>IF(Q40&gt;0,Q40*年末調整計算!C49,0)</f>
        <v>0</v>
      </c>
    </row>
    <row r="42" spans="1:18" ht="15" customHeight="1">
      <c r="A42" s="511" t="s">
        <v>87</v>
      </c>
      <c r="B42" s="520">
        <v>0</v>
      </c>
      <c r="C42" s="116" t="s">
        <v>63</v>
      </c>
      <c r="E42" s="156">
        <f>B42*年末調整計算!D10</f>
        <v>0</v>
      </c>
      <c r="G42" s="548" t="s">
        <v>243</v>
      </c>
      <c r="H42" s="521"/>
      <c r="I42" s="234" t="s">
        <v>181</v>
      </c>
      <c r="J42" s="518" t="s">
        <v>18</v>
      </c>
      <c r="K42" s="519"/>
      <c r="L42" s="523"/>
      <c r="M42" s="234" t="s">
        <v>208</v>
      </c>
      <c r="N42" s="511" t="s">
        <v>12</v>
      </c>
      <c r="O42" s="511"/>
      <c r="P42" s="235">
        <f>IF(Q42&lt;0,0,INT(Q42/100)*100)</f>
        <v>0</v>
      </c>
      <c r="Q42" s="242">
        <f>Q40+P41</f>
        <v>0</v>
      </c>
    </row>
    <row r="43" spans="1:18" ht="15" customHeight="1">
      <c r="A43" s="511" t="s">
        <v>141</v>
      </c>
      <c r="B43" s="414"/>
      <c r="C43" s="415"/>
      <c r="D43" s="416"/>
      <c r="E43" s="520">
        <v>0</v>
      </c>
      <c r="G43" s="548" t="s">
        <v>118</v>
      </c>
      <c r="H43" s="521"/>
      <c r="I43" s="234" t="s">
        <v>53</v>
      </c>
      <c r="J43" s="518" t="s">
        <v>271</v>
      </c>
      <c r="K43" s="519"/>
      <c r="L43" s="243">
        <f>E44</f>
        <v>380000</v>
      </c>
      <c r="N43" s="511" t="s">
        <v>15</v>
      </c>
      <c r="O43" s="511"/>
      <c r="P43" s="236">
        <f>H38</f>
        <v>0</v>
      </c>
    </row>
    <row r="44" spans="1:18" ht="15" customHeight="1" thickBot="1">
      <c r="A44" s="512" t="s">
        <v>45</v>
      </c>
      <c r="B44" s="513">
        <f>IF(B38&gt;0,1,0)+SUM(B39:B43)</f>
        <v>0</v>
      </c>
      <c r="C44" s="514" t="s">
        <v>257</v>
      </c>
      <c r="D44" s="515" t="s">
        <v>75</v>
      </c>
      <c r="E44" s="516">
        <f>SUM(E36:E43)</f>
        <v>380000</v>
      </c>
      <c r="G44" s="549" t="s">
        <v>189</v>
      </c>
      <c r="H44" s="522"/>
      <c r="I44" s="234" t="s">
        <v>132</v>
      </c>
      <c r="J44" s="518" t="s">
        <v>176</v>
      </c>
      <c r="K44" s="519"/>
      <c r="L44" s="244">
        <f>SUM(L37:L43)</f>
        <v>380000</v>
      </c>
      <c r="M44" s="234" t="s">
        <v>57</v>
      </c>
      <c r="N44" s="517" t="s">
        <v>225</v>
      </c>
      <c r="O44" s="511"/>
      <c r="P44" s="244">
        <f>IF(V10=0,P42-H38,0)</f>
        <v>0</v>
      </c>
      <c r="Q44" s="116" t="str">
        <f>IF(P44=0,"",IF(P44&lt;0,"還付","不足"))</f>
        <v/>
      </c>
    </row>
    <row r="45" spans="1:18" ht="15" thickTop="1"/>
    <row r="46" spans="1:18">
      <c r="G46" s="547" t="s">
        <v>97</v>
      </c>
      <c r="H46" s="547" t="s">
        <v>102</v>
      </c>
    </row>
    <row r="47" spans="1:18">
      <c r="G47" s="241">
        <f>VLOOKUP(H37,年末調整計算!B20:C24,2)</f>
        <v>0</v>
      </c>
      <c r="H47" s="241">
        <f>IF(H37&lt;年末調整計算!B24,VLOOKUP(H37,年末調整計算!B20:C24,1),0)</f>
        <v>0</v>
      </c>
    </row>
    <row r="48" spans="1:18">
      <c r="G48" s="547" t="s">
        <v>76</v>
      </c>
      <c r="H48" s="547" t="s">
        <v>94</v>
      </c>
    </row>
    <row r="49" spans="7:8">
      <c r="G49" s="241">
        <f>IF(G47=0,H37,H37-MOD(H37-H47,G47))</f>
        <v>0</v>
      </c>
      <c r="H49" s="241">
        <f>INT(IF(G49=0,0,G49*VLOOKUP(G49,年末調整計算!B26:D37,2)-VLOOKUP(G49,年末調整計算!B26:D37,3)))</f>
        <v>0</v>
      </c>
    </row>
  </sheetData>
  <mergeCells count="8">
    <mergeCell ref="G41:H41"/>
    <mergeCell ref="Y2:Y3"/>
    <mergeCell ref="W3:X3"/>
    <mergeCell ref="V7:V8"/>
    <mergeCell ref="X1:Y1"/>
    <mergeCell ref="N41:O41"/>
    <mergeCell ref="V2:V3"/>
    <mergeCell ref="W2:X2"/>
  </mergeCells>
  <phoneticPr fontId="9"/>
  <pageMargins left="0.98" right="0.39000000000000007" top="0.87" bottom="0.87" header="0.51" footer="0.51"/>
  <pageSetup paperSize="9" scale="69" orientation="landscape" verticalDpi="4294967292"/>
  <headerFooter alignWithMargins="0">
    <oddHeader>&amp;C給与台帳&amp;R&amp;D</oddHeader>
    <oddFooter>&amp;R&amp;F &amp;A&amp;C株式会社○○△△</oddFooter>
  </headerFooter>
  <extLst>
    <ext xmlns:mx="http://schemas.microsoft.com/office/mac/excel/2008/main" uri="{64002731-A6B0-56B0-2670-7721B7C09600}">
      <mx:PLV Mode="0" OnePage="0" WScale="75"/>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youyo" enableFormatConditionsCalculation="0"/>
  <dimension ref="A1:I21"/>
  <sheetViews>
    <sheetView workbookViewId="0">
      <selection activeCell="A4" sqref="A4"/>
    </sheetView>
  </sheetViews>
  <sheetFormatPr baseColWidth="12" defaultColWidth="11" defaultRowHeight="17" x14ac:dyDescent="0"/>
  <cols>
    <col min="1" max="1" width="9" bestFit="1" customWidth="1"/>
    <col min="2" max="9" width="5.1640625" bestFit="1" customWidth="1"/>
    <col min="10" max="10" width="3.1640625" bestFit="1" customWidth="1"/>
    <col min="11" max="11" width="11" customWidth="1"/>
    <col min="12" max="12" width="17" bestFit="1" customWidth="1"/>
    <col min="13" max="13" width="4.6640625" bestFit="1" customWidth="1"/>
    <col min="14" max="14" width="7.6640625" bestFit="1" customWidth="1"/>
  </cols>
  <sheetData>
    <row r="1" spans="1:9">
      <c r="B1" s="639" t="s">
        <v>130</v>
      </c>
      <c r="C1" s="639"/>
      <c r="D1" s="639"/>
      <c r="E1" s="639"/>
      <c r="F1" s="639"/>
      <c r="G1" s="639"/>
      <c r="H1" s="639"/>
      <c r="I1" s="639"/>
    </row>
    <row r="2" spans="1:9">
      <c r="B2" s="640" t="s">
        <v>108</v>
      </c>
      <c r="C2" s="640"/>
      <c r="D2" s="640"/>
      <c r="E2" s="640"/>
      <c r="F2" s="640"/>
      <c r="G2" s="640"/>
      <c r="H2" s="640"/>
      <c r="I2" s="640"/>
    </row>
    <row r="3" spans="1:9">
      <c r="A3" s="14" t="s">
        <v>67</v>
      </c>
      <c r="B3" s="15">
        <v>0</v>
      </c>
      <c r="C3" s="15">
        <v>1</v>
      </c>
      <c r="D3" s="15">
        <v>2</v>
      </c>
      <c r="E3" s="15">
        <v>3</v>
      </c>
      <c r="F3" s="15">
        <v>4</v>
      </c>
      <c r="G3" s="15">
        <v>5</v>
      </c>
      <c r="H3" s="15">
        <v>6</v>
      </c>
      <c r="I3" s="15">
        <v>7</v>
      </c>
    </row>
    <row r="4" spans="1:9">
      <c r="A4" s="16">
        <v>0</v>
      </c>
      <c r="B4" s="13">
        <v>0</v>
      </c>
      <c r="C4" s="13">
        <v>0</v>
      </c>
      <c r="D4" s="13">
        <v>0</v>
      </c>
      <c r="E4" s="13">
        <v>0</v>
      </c>
      <c r="F4" s="13">
        <v>0</v>
      </c>
      <c r="G4" s="13">
        <v>0</v>
      </c>
      <c r="H4" s="13">
        <v>0</v>
      </c>
      <c r="I4" s="13">
        <v>0</v>
      </c>
    </row>
    <row r="5" spans="1:9">
      <c r="A5" s="16">
        <v>2</v>
      </c>
      <c r="B5" s="13">
        <v>65</v>
      </c>
      <c r="C5" s="13">
        <v>89</v>
      </c>
      <c r="D5" s="13">
        <v>123</v>
      </c>
      <c r="E5" s="13">
        <v>159</v>
      </c>
      <c r="F5" s="13">
        <v>195</v>
      </c>
      <c r="G5" s="13">
        <v>228</v>
      </c>
      <c r="H5" s="13">
        <v>259</v>
      </c>
      <c r="I5" s="13">
        <v>289</v>
      </c>
    </row>
    <row r="6" spans="1:9">
      <c r="A6" s="16">
        <v>4</v>
      </c>
      <c r="B6" s="13">
        <v>71</v>
      </c>
      <c r="C6" s="13">
        <v>98</v>
      </c>
      <c r="D6" s="13">
        <v>140</v>
      </c>
      <c r="E6" s="13">
        <v>180</v>
      </c>
      <c r="F6" s="13">
        <v>219</v>
      </c>
      <c r="G6" s="13">
        <v>254</v>
      </c>
      <c r="H6" s="13">
        <v>288</v>
      </c>
      <c r="I6" s="13">
        <v>322</v>
      </c>
    </row>
    <row r="7" spans="1:9">
      <c r="A7" s="16">
        <v>6</v>
      </c>
      <c r="B7" s="13">
        <v>77</v>
      </c>
      <c r="C7" s="13">
        <v>115</v>
      </c>
      <c r="D7" s="13">
        <v>248</v>
      </c>
      <c r="E7" s="13">
        <v>248</v>
      </c>
      <c r="F7" s="13">
        <v>248</v>
      </c>
      <c r="G7" s="13">
        <v>286</v>
      </c>
      <c r="H7" s="13">
        <v>324</v>
      </c>
      <c r="I7" s="13">
        <v>363</v>
      </c>
    </row>
    <row r="8" spans="1:9">
      <c r="A8" s="16">
        <v>8</v>
      </c>
      <c r="B8" s="13">
        <v>85</v>
      </c>
      <c r="C8" s="13">
        <v>365</v>
      </c>
      <c r="D8" s="13">
        <v>393</v>
      </c>
      <c r="E8" s="13">
        <v>417</v>
      </c>
      <c r="F8" s="13">
        <v>441</v>
      </c>
      <c r="G8" s="13">
        <v>465</v>
      </c>
      <c r="H8" s="13">
        <v>488</v>
      </c>
      <c r="I8" s="13">
        <v>512</v>
      </c>
    </row>
    <row r="9" spans="1:9">
      <c r="A9" s="16">
        <v>10</v>
      </c>
      <c r="B9" s="13">
        <v>371</v>
      </c>
      <c r="C9" s="13">
        <v>401</v>
      </c>
      <c r="D9" s="13">
        <v>427</v>
      </c>
      <c r="E9" s="13">
        <v>452</v>
      </c>
      <c r="F9" s="13">
        <v>478</v>
      </c>
      <c r="G9" s="13">
        <v>504</v>
      </c>
      <c r="H9" s="13">
        <v>530</v>
      </c>
      <c r="I9" s="13">
        <v>566</v>
      </c>
    </row>
    <row r="10" spans="1:9">
      <c r="A10" s="16">
        <v>12</v>
      </c>
      <c r="B10" s="13">
        <v>410</v>
      </c>
      <c r="C10" s="13">
        <v>438</v>
      </c>
      <c r="D10" s="13">
        <v>466</v>
      </c>
      <c r="E10" s="13">
        <v>494</v>
      </c>
      <c r="F10" s="13">
        <v>522</v>
      </c>
      <c r="G10" s="13">
        <v>551</v>
      </c>
      <c r="H10" s="13">
        <v>582</v>
      </c>
      <c r="I10" s="13">
        <v>610</v>
      </c>
    </row>
    <row r="11" spans="1:9">
      <c r="A11" s="16">
        <v>14</v>
      </c>
      <c r="B11" s="13">
        <v>498</v>
      </c>
      <c r="C11" s="13">
        <v>498</v>
      </c>
      <c r="D11" s="13">
        <v>514</v>
      </c>
      <c r="E11" s="13">
        <v>545</v>
      </c>
      <c r="F11" s="13">
        <v>579</v>
      </c>
      <c r="G11" s="13">
        <v>610</v>
      </c>
      <c r="H11" s="13">
        <v>640</v>
      </c>
      <c r="I11" s="13">
        <v>669</v>
      </c>
    </row>
    <row r="12" spans="1:9">
      <c r="A12" s="16">
        <v>16</v>
      </c>
      <c r="B12" s="13">
        <v>682</v>
      </c>
      <c r="C12" s="13">
        <v>704</v>
      </c>
      <c r="D12" s="13">
        <v>725</v>
      </c>
      <c r="E12" s="13">
        <v>747</v>
      </c>
      <c r="F12" s="13">
        <v>769</v>
      </c>
      <c r="G12" s="13">
        <v>790</v>
      </c>
      <c r="H12" s="13">
        <v>812</v>
      </c>
      <c r="I12" s="13">
        <v>834</v>
      </c>
    </row>
    <row r="13" spans="1:9">
      <c r="A13" s="16">
        <v>18</v>
      </c>
      <c r="B13" s="13">
        <v>715</v>
      </c>
      <c r="C13" s="13">
        <v>739</v>
      </c>
      <c r="D13" s="13">
        <v>763</v>
      </c>
      <c r="E13" s="13">
        <v>787</v>
      </c>
      <c r="F13" s="13">
        <v>811</v>
      </c>
      <c r="G13" s="13">
        <v>836</v>
      </c>
      <c r="H13" s="13">
        <v>861</v>
      </c>
      <c r="I13" s="13">
        <v>886</v>
      </c>
    </row>
    <row r="14" spans="1:9">
      <c r="A14" s="16">
        <v>20</v>
      </c>
      <c r="B14" s="13">
        <v>749</v>
      </c>
      <c r="C14" s="13">
        <v>774</v>
      </c>
      <c r="D14" s="13">
        <v>800</v>
      </c>
      <c r="E14" s="13">
        <v>8258</v>
      </c>
      <c r="F14" s="13">
        <v>851</v>
      </c>
      <c r="G14" s="13">
        <v>877</v>
      </c>
      <c r="H14" s="13">
        <v>903</v>
      </c>
      <c r="I14" s="13">
        <v>930</v>
      </c>
    </row>
    <row r="15" spans="1:9">
      <c r="A15" s="16">
        <v>22</v>
      </c>
      <c r="B15" s="13">
        <v>786</v>
      </c>
      <c r="C15" s="13">
        <v>813</v>
      </c>
      <c r="D15" s="13">
        <v>839</v>
      </c>
      <c r="E15" s="13">
        <v>867</v>
      </c>
      <c r="F15" s="13">
        <v>895</v>
      </c>
      <c r="G15" s="13">
        <v>923</v>
      </c>
      <c r="H15" s="13">
        <v>950</v>
      </c>
      <c r="I15" s="13">
        <v>978</v>
      </c>
    </row>
    <row r="16" spans="1:9">
      <c r="A16" s="16">
        <v>24</v>
      </c>
      <c r="B16" s="13">
        <v>827</v>
      </c>
      <c r="C16" s="13">
        <v>856</v>
      </c>
      <c r="D16" s="13">
        <v>886</v>
      </c>
      <c r="E16" s="13">
        <v>915</v>
      </c>
      <c r="F16" s="13">
        <v>944</v>
      </c>
      <c r="G16" s="13">
        <v>973</v>
      </c>
      <c r="H16" s="13">
        <v>1002</v>
      </c>
      <c r="I16" s="13">
        <v>1032</v>
      </c>
    </row>
    <row r="17" spans="1:9">
      <c r="A17" s="16">
        <v>26</v>
      </c>
      <c r="B17" s="13">
        <v>875</v>
      </c>
      <c r="C17" s="13">
        <v>906</v>
      </c>
      <c r="D17" s="13">
        <v>937</v>
      </c>
      <c r="E17" s="13">
        <v>968</v>
      </c>
      <c r="F17" s="13">
        <v>999</v>
      </c>
      <c r="G17" s="13">
        <v>1030</v>
      </c>
      <c r="H17" s="13">
        <v>1061</v>
      </c>
      <c r="I17" s="13">
        <v>1092</v>
      </c>
    </row>
    <row r="18" spans="1:9">
      <c r="A18" s="16">
        <v>28</v>
      </c>
      <c r="B18" s="13">
        <v>851</v>
      </c>
      <c r="C18" s="13">
        <v>983</v>
      </c>
      <c r="D18" s="13">
        <v>1016</v>
      </c>
      <c r="E18" s="13">
        <v>1048</v>
      </c>
      <c r="F18" s="13">
        <v>1081</v>
      </c>
      <c r="G18" s="13">
        <v>1114</v>
      </c>
      <c r="H18" s="13">
        <v>1146</v>
      </c>
      <c r="I18" s="13">
        <v>1179</v>
      </c>
    </row>
    <row r="19" spans="1:9">
      <c r="A19" s="16">
        <v>30</v>
      </c>
      <c r="B19" s="13">
        <v>1331</v>
      </c>
      <c r="C19" s="13">
        <v>1356</v>
      </c>
      <c r="D19" s="13">
        <v>1382</v>
      </c>
      <c r="E19" s="13">
        <v>1407</v>
      </c>
      <c r="F19" s="13">
        <v>1432</v>
      </c>
      <c r="G19" s="13">
        <v>1457</v>
      </c>
      <c r="H19" s="13">
        <v>1482</v>
      </c>
      <c r="I19" s="13">
        <v>1508</v>
      </c>
    </row>
    <row r="20" spans="1:9">
      <c r="A20" s="16">
        <v>32</v>
      </c>
      <c r="B20" s="13">
        <v>1471</v>
      </c>
      <c r="C20" s="13">
        <v>1498</v>
      </c>
      <c r="D20" s="13">
        <v>1526</v>
      </c>
      <c r="E20" s="13">
        <v>1554</v>
      </c>
      <c r="F20" s="13">
        <v>1582</v>
      </c>
      <c r="G20" s="13">
        <v>1610</v>
      </c>
      <c r="H20" s="13">
        <v>1638</v>
      </c>
      <c r="I20" s="13">
        <v>1665</v>
      </c>
    </row>
    <row r="21" spans="1:9">
      <c r="A21" s="16">
        <v>35</v>
      </c>
      <c r="B21" s="13">
        <v>1745</v>
      </c>
      <c r="C21" s="13">
        <v>1778</v>
      </c>
      <c r="D21" s="13">
        <v>1811</v>
      </c>
      <c r="E21" s="13">
        <v>1844</v>
      </c>
      <c r="F21" s="13">
        <v>1877</v>
      </c>
      <c r="G21" s="13">
        <v>1910</v>
      </c>
      <c r="H21" s="13">
        <v>1943</v>
      </c>
      <c r="I21" s="13">
        <v>1976</v>
      </c>
    </row>
  </sheetData>
  <mergeCells count="2">
    <mergeCell ref="B1:I1"/>
    <mergeCell ref="B2:I2"/>
  </mergeCells>
  <phoneticPr fontId="9"/>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enmatu" enableFormatConditionsCalculation="0"/>
  <dimension ref="A1:F49"/>
  <sheetViews>
    <sheetView workbookViewId="0">
      <selection activeCell="C46" sqref="C46"/>
    </sheetView>
  </sheetViews>
  <sheetFormatPr baseColWidth="12" defaultColWidth="11" defaultRowHeight="17" x14ac:dyDescent="0"/>
  <cols>
    <col min="1" max="1" width="20.5" style="3" bestFit="1" customWidth="1"/>
    <col min="2" max="2" width="12" style="3" customWidth="1"/>
    <col min="3" max="4" width="11.6640625" style="3" bestFit="1" customWidth="1"/>
    <col min="5" max="16384" width="11" style="3"/>
  </cols>
  <sheetData>
    <row r="1" spans="1:5" ht="18">
      <c r="A1" s="641" t="s">
        <v>104</v>
      </c>
      <c r="B1" s="641"/>
      <c r="C1" s="641"/>
      <c r="D1" s="641"/>
      <c r="E1" s="456" t="s">
        <v>391</v>
      </c>
    </row>
    <row r="3" spans="1:5">
      <c r="A3" s="64" t="s">
        <v>267</v>
      </c>
      <c r="B3" s="3" t="s">
        <v>77</v>
      </c>
      <c r="D3" s="9">
        <v>380000</v>
      </c>
    </row>
    <row r="4" spans="1:5">
      <c r="B4" s="3" t="s">
        <v>274</v>
      </c>
      <c r="C4" s="3" t="s">
        <v>275</v>
      </c>
      <c r="D4" s="9">
        <v>380000</v>
      </c>
    </row>
    <row r="5" spans="1:5">
      <c r="C5" s="3" t="s">
        <v>276</v>
      </c>
      <c r="D5" s="9">
        <v>480000</v>
      </c>
    </row>
    <row r="6" spans="1:5">
      <c r="B6" s="3" t="s">
        <v>23</v>
      </c>
      <c r="D6" s="9">
        <v>380000</v>
      </c>
    </row>
    <row r="7" spans="1:5">
      <c r="B7" s="3" t="s">
        <v>81</v>
      </c>
      <c r="D7" s="9">
        <v>630000</v>
      </c>
      <c r="E7" s="3" t="s">
        <v>244</v>
      </c>
    </row>
    <row r="8" spans="1:5">
      <c r="B8" s="3" t="s">
        <v>113</v>
      </c>
      <c r="D8" s="9"/>
      <c r="E8" s="3" t="s">
        <v>123</v>
      </c>
    </row>
    <row r="9" spans="1:5">
      <c r="B9" s="3" t="s">
        <v>137</v>
      </c>
      <c r="C9" s="3" t="s">
        <v>72</v>
      </c>
      <c r="D9" s="9">
        <v>480000</v>
      </c>
    </row>
    <row r="10" spans="1:5">
      <c r="C10" s="3" t="s">
        <v>20</v>
      </c>
      <c r="D10" s="9">
        <v>580000</v>
      </c>
    </row>
    <row r="11" spans="1:5">
      <c r="B11" s="3" t="s">
        <v>5</v>
      </c>
      <c r="C11" s="3" t="s">
        <v>275</v>
      </c>
      <c r="D11" s="9">
        <v>750000</v>
      </c>
    </row>
    <row r="12" spans="1:5">
      <c r="C12" s="3" t="s">
        <v>6</v>
      </c>
      <c r="D12" s="9"/>
    </row>
    <row r="13" spans="1:5">
      <c r="C13" s="3" t="s">
        <v>217</v>
      </c>
      <c r="D13" s="9"/>
    </row>
    <row r="14" spans="1:5">
      <c r="C14" s="3" t="s">
        <v>34</v>
      </c>
      <c r="D14" s="9"/>
    </row>
    <row r="15" spans="1:5">
      <c r="B15" s="3" t="s">
        <v>220</v>
      </c>
      <c r="C15" s="3" t="s">
        <v>275</v>
      </c>
      <c r="D15" s="9">
        <v>270000</v>
      </c>
    </row>
    <row r="16" spans="1:5">
      <c r="C16" s="3" t="s">
        <v>221</v>
      </c>
      <c r="D16" s="9">
        <v>400000</v>
      </c>
    </row>
    <row r="17" spans="1:4">
      <c r="B17" s="3" t="s">
        <v>222</v>
      </c>
      <c r="D17" s="9"/>
    </row>
    <row r="20" spans="1:4">
      <c r="A20" s="65" t="s">
        <v>28</v>
      </c>
      <c r="B20" s="70">
        <v>0</v>
      </c>
      <c r="C20" s="70">
        <v>0</v>
      </c>
    </row>
    <row r="21" spans="1:4">
      <c r="B21" s="70">
        <v>1619000</v>
      </c>
      <c r="C21" s="70">
        <v>1000</v>
      </c>
    </row>
    <row r="22" spans="1:4">
      <c r="B22" s="70">
        <v>1620000</v>
      </c>
      <c r="C22" s="70">
        <v>2000</v>
      </c>
    </row>
    <row r="23" spans="1:4">
      <c r="B23" s="70">
        <v>1624000</v>
      </c>
      <c r="C23" s="70">
        <v>4000</v>
      </c>
    </row>
    <row r="24" spans="1:4">
      <c r="B24" s="70">
        <v>6600000</v>
      </c>
      <c r="C24" s="70">
        <v>1</v>
      </c>
    </row>
    <row r="26" spans="1:4">
      <c r="A26" s="64" t="s">
        <v>3</v>
      </c>
      <c r="B26" s="67">
        <v>1</v>
      </c>
      <c r="C26" s="68">
        <v>0</v>
      </c>
      <c r="D26" s="66">
        <v>0</v>
      </c>
    </row>
    <row r="27" spans="1:4">
      <c r="A27" s="64" t="s">
        <v>46</v>
      </c>
      <c r="B27" s="69">
        <v>651000</v>
      </c>
      <c r="C27" s="68">
        <v>1</v>
      </c>
      <c r="D27" s="70">
        <v>650000</v>
      </c>
    </row>
    <row r="28" spans="1:4">
      <c r="B28" s="69">
        <v>1619000</v>
      </c>
      <c r="C28" s="68">
        <v>0.6</v>
      </c>
      <c r="D28" s="70">
        <v>2400</v>
      </c>
    </row>
    <row r="29" spans="1:4">
      <c r="B29" s="69">
        <v>1620000</v>
      </c>
      <c r="C29" s="68">
        <v>0.6</v>
      </c>
      <c r="D29" s="70">
        <v>2000</v>
      </c>
    </row>
    <row r="30" spans="1:4">
      <c r="B30" s="69">
        <v>1622000</v>
      </c>
      <c r="C30" s="68">
        <v>0.6</v>
      </c>
      <c r="D30" s="70">
        <v>1200</v>
      </c>
    </row>
    <row r="31" spans="1:4">
      <c r="B31" s="69">
        <v>1624000</v>
      </c>
      <c r="C31" s="68">
        <v>0.6</v>
      </c>
      <c r="D31" s="70">
        <v>400</v>
      </c>
    </row>
    <row r="32" spans="1:4">
      <c r="B32" s="69">
        <v>1628000</v>
      </c>
      <c r="C32" s="68">
        <v>0.6</v>
      </c>
      <c r="D32" s="70">
        <v>0</v>
      </c>
    </row>
    <row r="33" spans="1:6">
      <c r="B33" s="69">
        <v>1800000</v>
      </c>
      <c r="C33" s="68">
        <v>0.7</v>
      </c>
      <c r="D33" s="70">
        <v>180000</v>
      </c>
    </row>
    <row r="34" spans="1:6">
      <c r="B34" s="69">
        <v>3600000</v>
      </c>
      <c r="C34" s="68">
        <v>0.8</v>
      </c>
      <c r="D34" s="70">
        <v>540000</v>
      </c>
    </row>
    <row r="35" spans="1:6">
      <c r="B35" s="69">
        <v>6600000</v>
      </c>
      <c r="C35" s="68">
        <v>0.9</v>
      </c>
      <c r="D35" s="70">
        <v>1200000</v>
      </c>
    </row>
    <row r="36" spans="1:6">
      <c r="B36" s="69">
        <v>10000000</v>
      </c>
      <c r="C36" s="68">
        <v>0.95</v>
      </c>
      <c r="D36" s="70">
        <v>1700000</v>
      </c>
    </row>
    <row r="37" spans="1:6">
      <c r="B37" s="69">
        <v>20000001</v>
      </c>
      <c r="C37" s="71" t="s">
        <v>47</v>
      </c>
      <c r="D37" s="71" t="s">
        <v>47</v>
      </c>
    </row>
    <row r="39" spans="1:6">
      <c r="A39" s="64" t="s">
        <v>153</v>
      </c>
      <c r="B39" s="72" t="s">
        <v>158</v>
      </c>
      <c r="C39" s="72" t="s">
        <v>120</v>
      </c>
      <c r="D39" s="72" t="s">
        <v>245</v>
      </c>
      <c r="F39" s="72" t="s">
        <v>120</v>
      </c>
    </row>
    <row r="40" spans="1:6">
      <c r="A40" s="73" t="s">
        <v>101</v>
      </c>
      <c r="B40" s="70">
        <v>1</v>
      </c>
      <c r="C40" s="452">
        <f>F40*102.1%</f>
        <v>5.1049999999999998E-2</v>
      </c>
      <c r="D40" s="66">
        <v>0</v>
      </c>
      <c r="F40" s="68">
        <v>0.05</v>
      </c>
    </row>
    <row r="41" spans="1:6">
      <c r="B41" s="70">
        <v>1950001</v>
      </c>
      <c r="C41" s="452">
        <f t="shared" ref="C41:C44" si="0">F41*102.1%</f>
        <v>0.1021</v>
      </c>
      <c r="D41" s="70">
        <v>97500</v>
      </c>
      <c r="F41" s="68">
        <v>0.1</v>
      </c>
    </row>
    <row r="42" spans="1:6">
      <c r="B42" s="70">
        <v>3300001</v>
      </c>
      <c r="C42" s="452">
        <f t="shared" si="0"/>
        <v>0.20419999999999999</v>
      </c>
      <c r="D42" s="70">
        <v>427500</v>
      </c>
      <c r="F42" s="68">
        <v>0.2</v>
      </c>
    </row>
    <row r="43" spans="1:6">
      <c r="B43" s="70">
        <v>6950001</v>
      </c>
      <c r="C43" s="452">
        <f t="shared" si="0"/>
        <v>0.23482999999999998</v>
      </c>
      <c r="D43" s="70">
        <v>636000</v>
      </c>
      <c r="F43" s="68">
        <v>0.23</v>
      </c>
    </row>
    <row r="44" spans="1:6">
      <c r="B44" s="70">
        <v>9000001</v>
      </c>
      <c r="C44" s="452">
        <f t="shared" si="0"/>
        <v>0.33693000000000001</v>
      </c>
      <c r="D44" s="70">
        <v>1536000</v>
      </c>
      <c r="F44" s="68">
        <v>0.33</v>
      </c>
    </row>
    <row r="45" spans="1:6">
      <c r="B45" s="70">
        <v>17170001</v>
      </c>
      <c r="C45" s="71" t="s">
        <v>47</v>
      </c>
      <c r="D45" s="71" t="s">
        <v>47</v>
      </c>
      <c r="F45" s="71" t="s">
        <v>47</v>
      </c>
    </row>
    <row r="46" spans="1:6">
      <c r="B46" s="454"/>
      <c r="C46" s="593" t="s">
        <v>419</v>
      </c>
      <c r="D46" s="455"/>
      <c r="F46" s="455"/>
    </row>
    <row r="48" spans="1:6">
      <c r="A48" s="64" t="s">
        <v>278</v>
      </c>
      <c r="B48" s="66"/>
      <c r="C48" s="71" t="s">
        <v>106</v>
      </c>
      <c r="D48" s="71" t="s">
        <v>56</v>
      </c>
    </row>
    <row r="49" spans="2:4">
      <c r="B49" s="66"/>
      <c r="C49" s="74"/>
      <c r="D49" s="70"/>
    </row>
  </sheetData>
  <mergeCells count="1">
    <mergeCell ref="A1:D1"/>
  </mergeCells>
  <phoneticPr fontId="9"/>
  <printOptions gridLinesSet="0"/>
  <pageMargins left="0.75" right="0.75" top="1" bottom="1" header="0.51200000000000001" footer="0.51200000000000001"/>
  <pageSetup paperSize="9" orientation="portrait"/>
  <headerFooter alignWithMargins="0">
    <oddHeader>&amp;A</oddHeader>
    <oddFooter>- &amp;P -</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ase" enableFormatConditionsCalculation="0">
    <tabColor indexed="13"/>
    <pageSetUpPr fitToPage="1"/>
  </sheetPr>
  <dimension ref="A1:P33"/>
  <sheetViews>
    <sheetView workbookViewId="0">
      <pane xSplit="6" ySplit="5" topLeftCell="G6" activePane="bottomRight" state="frozen"/>
      <selection pane="topRight" activeCell="G1" sqref="G1"/>
      <selection pane="bottomLeft" activeCell="A6" sqref="A6"/>
      <selection pane="bottomRight" activeCell="B5" sqref="B5"/>
    </sheetView>
  </sheetViews>
  <sheetFormatPr baseColWidth="12" defaultColWidth="11" defaultRowHeight="17" x14ac:dyDescent="0"/>
  <cols>
    <col min="1" max="1" width="7.6640625" bestFit="1" customWidth="1"/>
    <col min="2" max="2" width="6.1640625" bestFit="1" customWidth="1"/>
    <col min="3" max="3" width="9.6640625" bestFit="1" customWidth="1"/>
    <col min="4" max="5" width="11" bestFit="1" customWidth="1"/>
    <col min="6" max="6" width="15.33203125" customWidth="1"/>
    <col min="7" max="7" width="10.5" bestFit="1" customWidth="1"/>
    <col min="8" max="8" width="5.1640625" bestFit="1" customWidth="1"/>
    <col min="9" max="9" width="9.5" bestFit="1" customWidth="1"/>
    <col min="10" max="11" width="25" customWidth="1"/>
    <col min="12" max="12" width="13.83203125" bestFit="1" customWidth="1"/>
    <col min="13" max="13" width="17.5" style="44" customWidth="1"/>
    <col min="14" max="14" width="9" bestFit="1" customWidth="1"/>
    <col min="15" max="15" width="17.5" customWidth="1"/>
    <col min="16" max="16" width="31.1640625" customWidth="1"/>
    <col min="17" max="17" width="9.83203125" bestFit="1" customWidth="1"/>
  </cols>
  <sheetData>
    <row r="1" spans="1:16" ht="25">
      <c r="A1" s="615" t="s">
        <v>370</v>
      </c>
      <c r="B1" s="615"/>
      <c r="C1" s="615"/>
    </row>
    <row r="3" spans="1:16" ht="18">
      <c r="B3" s="498">
        <v>2015</v>
      </c>
      <c r="C3" s="17" t="s">
        <v>58</v>
      </c>
      <c r="D3" s="550" t="s">
        <v>380</v>
      </c>
      <c r="E3" s="591" t="s">
        <v>381</v>
      </c>
    </row>
    <row r="5" spans="1:16">
      <c r="A5" s="575" t="s">
        <v>307</v>
      </c>
      <c r="B5" s="505" t="s">
        <v>388</v>
      </c>
      <c r="C5" s="505" t="s">
        <v>371</v>
      </c>
      <c r="D5" s="505" t="s">
        <v>299</v>
      </c>
      <c r="E5" s="506" t="s">
        <v>43</v>
      </c>
      <c r="F5" s="506" t="s">
        <v>0</v>
      </c>
      <c r="G5" s="506" t="s">
        <v>213</v>
      </c>
      <c r="H5" s="506" t="s">
        <v>119</v>
      </c>
      <c r="I5" s="506" t="s">
        <v>79</v>
      </c>
      <c r="J5" s="506" t="s">
        <v>154</v>
      </c>
      <c r="K5" s="506" t="s">
        <v>52</v>
      </c>
      <c r="L5" s="506" t="s">
        <v>167</v>
      </c>
      <c r="M5" s="506" t="s">
        <v>134</v>
      </c>
      <c r="N5" s="506" t="s">
        <v>268</v>
      </c>
      <c r="O5" s="506" t="s">
        <v>184</v>
      </c>
      <c r="P5" s="506" t="s">
        <v>198</v>
      </c>
    </row>
    <row r="6" spans="1:16">
      <c r="A6" s="13">
        <v>1</v>
      </c>
      <c r="B6" s="499">
        <v>2</v>
      </c>
      <c r="C6" s="500">
        <v>1</v>
      </c>
      <c r="D6" s="501">
        <v>36526</v>
      </c>
      <c r="E6" s="500"/>
      <c r="F6" s="500" t="s">
        <v>428</v>
      </c>
      <c r="G6" s="502">
        <v>25821</v>
      </c>
      <c r="H6" s="610">
        <f ca="1">IF(G6="","",DATEDIF(G6,TODAY(),"Y"))</f>
        <v>44</v>
      </c>
      <c r="I6" s="500" t="s">
        <v>304</v>
      </c>
      <c r="J6" s="500" t="s">
        <v>305</v>
      </c>
      <c r="K6" s="500"/>
      <c r="L6" s="500" t="s">
        <v>306</v>
      </c>
      <c r="M6" s="500" t="s">
        <v>387</v>
      </c>
      <c r="N6" s="611" t="str">
        <f t="shared" ref="N6:N25" si="0">IF($B$3-YEAR(G6)&lt;40,"-",IF($B$3-YEAR(G6)&lt;65,"該当","-"))</f>
        <v>該当</v>
      </c>
      <c r="O6" s="500"/>
      <c r="P6" s="500" t="s">
        <v>368</v>
      </c>
    </row>
    <row r="7" spans="1:16">
      <c r="A7" s="13">
        <v>2</v>
      </c>
      <c r="B7" s="499">
        <v>2</v>
      </c>
      <c r="C7" s="500">
        <v>2</v>
      </c>
      <c r="D7" s="501">
        <v>36526</v>
      </c>
      <c r="E7" s="500"/>
      <c r="F7" s="500" t="s">
        <v>429</v>
      </c>
      <c r="G7" s="502">
        <v>32218</v>
      </c>
      <c r="H7" s="610">
        <f ca="1">IF(G7="","",DATEDIF(G7,TODAY(),"Y"))</f>
        <v>27</v>
      </c>
      <c r="I7" s="500" t="s">
        <v>382</v>
      </c>
      <c r="J7" s="500" t="s">
        <v>383</v>
      </c>
      <c r="K7" s="500"/>
      <c r="L7" s="500"/>
      <c r="M7" s="500" t="s">
        <v>385</v>
      </c>
      <c r="N7" s="611" t="str">
        <f t="shared" si="0"/>
        <v>-</v>
      </c>
      <c r="O7" s="500" t="s">
        <v>385</v>
      </c>
      <c r="P7" s="500" t="s">
        <v>368</v>
      </c>
    </row>
    <row r="8" spans="1:16">
      <c r="A8" s="13">
        <v>3</v>
      </c>
      <c r="B8" s="551">
        <v>2</v>
      </c>
      <c r="C8" s="500">
        <v>3</v>
      </c>
      <c r="D8" s="501">
        <v>36526</v>
      </c>
      <c r="E8" s="500"/>
      <c r="F8" s="500" t="s">
        <v>432</v>
      </c>
      <c r="G8" s="502">
        <v>29231</v>
      </c>
      <c r="H8" s="610">
        <f t="shared" ref="H8:H25" ca="1" si="1">IF(G8="","",DATEDIF(G8,TODAY(),"Y"))</f>
        <v>35</v>
      </c>
      <c r="I8" s="504" t="s">
        <v>384</v>
      </c>
      <c r="J8" s="500" t="s">
        <v>383</v>
      </c>
      <c r="K8" s="500"/>
      <c r="L8" s="504"/>
      <c r="M8" s="500" t="s">
        <v>386</v>
      </c>
      <c r="N8" s="612" t="str">
        <f t="shared" si="0"/>
        <v>-</v>
      </c>
      <c r="O8" s="500" t="s">
        <v>386</v>
      </c>
      <c r="P8" s="500" t="s">
        <v>368</v>
      </c>
    </row>
    <row r="9" spans="1:16">
      <c r="A9" s="13">
        <v>4</v>
      </c>
      <c r="B9" s="499">
        <v>2</v>
      </c>
      <c r="C9" s="500">
        <v>4</v>
      </c>
      <c r="D9" s="501">
        <v>36526</v>
      </c>
      <c r="E9" s="500"/>
      <c r="F9" s="500" t="s">
        <v>430</v>
      </c>
      <c r="G9" s="502">
        <v>33840</v>
      </c>
      <c r="H9" s="610">
        <f t="shared" ca="1" si="1"/>
        <v>23</v>
      </c>
      <c r="I9" s="500" t="s">
        <v>304</v>
      </c>
      <c r="J9" s="500" t="s">
        <v>305</v>
      </c>
      <c r="K9" s="500"/>
      <c r="L9" s="500"/>
      <c r="M9" s="500"/>
      <c r="N9" s="611" t="str">
        <f t="shared" si="0"/>
        <v>-</v>
      </c>
      <c r="O9" s="500"/>
      <c r="P9" s="500"/>
    </row>
    <row r="10" spans="1:16">
      <c r="A10" s="13">
        <v>5</v>
      </c>
      <c r="B10" s="499">
        <v>2</v>
      </c>
      <c r="C10" s="500">
        <v>5</v>
      </c>
      <c r="D10" s="501">
        <v>36526</v>
      </c>
      <c r="E10" s="500"/>
      <c r="F10" s="500" t="s">
        <v>431</v>
      </c>
      <c r="G10" s="502">
        <v>35084</v>
      </c>
      <c r="H10" s="610">
        <f t="shared" ca="1" si="1"/>
        <v>19</v>
      </c>
      <c r="I10" s="500" t="s">
        <v>382</v>
      </c>
      <c r="J10" s="500" t="s">
        <v>383</v>
      </c>
      <c r="K10" s="500"/>
      <c r="L10" s="500"/>
      <c r="M10" s="500"/>
      <c r="N10" s="611" t="str">
        <f t="shared" si="0"/>
        <v>-</v>
      </c>
      <c r="O10" s="500"/>
      <c r="P10" s="500"/>
    </row>
    <row r="11" spans="1:16">
      <c r="A11" s="13">
        <v>6</v>
      </c>
      <c r="B11" s="499">
        <v>2</v>
      </c>
      <c r="C11" s="500"/>
      <c r="D11" s="501"/>
      <c r="E11" s="500"/>
      <c r="F11" s="500"/>
      <c r="G11" s="502"/>
      <c r="H11" s="610"/>
      <c r="I11" s="500"/>
      <c r="J11" s="500"/>
      <c r="K11" s="500"/>
      <c r="L11" s="500"/>
      <c r="M11" s="500"/>
      <c r="N11" s="611" t="str">
        <f t="shared" si="0"/>
        <v>-</v>
      </c>
      <c r="O11" s="500"/>
      <c r="P11" s="500"/>
    </row>
    <row r="12" spans="1:16">
      <c r="A12" s="13">
        <v>7</v>
      </c>
      <c r="B12" s="499">
        <v>2</v>
      </c>
      <c r="C12" s="500"/>
      <c r="D12" s="501"/>
      <c r="E12" s="500"/>
      <c r="F12" s="500"/>
      <c r="G12" s="502"/>
      <c r="H12" s="610"/>
      <c r="I12" s="500"/>
      <c r="J12" s="500"/>
      <c r="K12" s="500"/>
      <c r="L12" s="500"/>
      <c r="M12" s="500"/>
      <c r="N12" s="611" t="str">
        <f t="shared" si="0"/>
        <v>-</v>
      </c>
      <c r="O12" s="500"/>
      <c r="P12" s="500"/>
    </row>
    <row r="13" spans="1:16">
      <c r="A13" s="13">
        <v>8</v>
      </c>
      <c r="B13" s="551">
        <v>2</v>
      </c>
      <c r="C13" s="500"/>
      <c r="D13" s="501"/>
      <c r="E13" s="500"/>
      <c r="F13" s="500"/>
      <c r="G13" s="502"/>
      <c r="H13" s="610"/>
      <c r="I13" s="504"/>
      <c r="J13" s="500"/>
      <c r="K13" s="500"/>
      <c r="L13" s="500"/>
      <c r="M13" s="500"/>
      <c r="N13" s="611" t="str">
        <f t="shared" si="0"/>
        <v>-</v>
      </c>
      <c r="O13" s="500"/>
      <c r="P13" s="500"/>
    </row>
    <row r="14" spans="1:16">
      <c r="A14" s="13">
        <v>9</v>
      </c>
      <c r="B14" s="499">
        <v>2</v>
      </c>
      <c r="C14" s="500"/>
      <c r="D14" s="503"/>
      <c r="E14" s="500"/>
      <c r="F14" s="500"/>
      <c r="G14" s="502"/>
      <c r="H14" s="610"/>
      <c r="I14" s="500"/>
      <c r="J14" s="500"/>
      <c r="K14" s="500"/>
      <c r="L14" s="500"/>
      <c r="M14" s="500"/>
      <c r="N14" s="611" t="str">
        <f t="shared" si="0"/>
        <v>-</v>
      </c>
      <c r="O14" s="500"/>
      <c r="P14" s="500"/>
    </row>
    <row r="15" spans="1:16">
      <c r="A15" s="13">
        <v>10</v>
      </c>
      <c r="B15" s="499">
        <v>2</v>
      </c>
      <c r="C15" s="500"/>
      <c r="D15" s="501"/>
      <c r="E15" s="500"/>
      <c r="F15" s="500"/>
      <c r="G15" s="502"/>
      <c r="H15" s="610"/>
      <c r="I15" s="500"/>
      <c r="J15" s="500"/>
      <c r="K15" s="500"/>
      <c r="L15" s="500"/>
      <c r="M15" s="500"/>
      <c r="N15" s="611" t="str">
        <f t="shared" si="0"/>
        <v>-</v>
      </c>
      <c r="O15" s="500"/>
      <c r="P15" s="500"/>
    </row>
    <row r="16" spans="1:16">
      <c r="A16" s="13"/>
      <c r="B16" s="499"/>
      <c r="C16" s="500">
        <v>11</v>
      </c>
      <c r="D16" s="502"/>
      <c r="E16" s="500"/>
      <c r="F16" s="500"/>
      <c r="G16" s="502"/>
      <c r="H16" s="610" t="str">
        <f t="shared" ca="1" si="1"/>
        <v/>
      </c>
      <c r="I16" s="500"/>
      <c r="J16" s="500"/>
      <c r="K16" s="500"/>
      <c r="L16" s="500"/>
      <c r="M16" s="500"/>
      <c r="N16" s="611" t="str">
        <f t="shared" si="0"/>
        <v>-</v>
      </c>
      <c r="O16" s="500"/>
      <c r="P16" s="500"/>
    </row>
    <row r="17" spans="1:16">
      <c r="A17" s="13"/>
      <c r="B17" s="499"/>
      <c r="C17" s="500">
        <v>12</v>
      </c>
      <c r="D17" s="502"/>
      <c r="E17" s="500"/>
      <c r="F17" s="500"/>
      <c r="G17" s="502"/>
      <c r="H17" s="610" t="str">
        <f t="shared" ca="1" si="1"/>
        <v/>
      </c>
      <c r="I17" s="500"/>
      <c r="J17" s="500"/>
      <c r="K17" s="500"/>
      <c r="L17" s="500"/>
      <c r="M17" s="500"/>
      <c r="N17" s="611" t="str">
        <f t="shared" si="0"/>
        <v>-</v>
      </c>
      <c r="O17" s="500"/>
      <c r="P17" s="500"/>
    </row>
    <row r="18" spans="1:16">
      <c r="A18" s="13"/>
      <c r="B18" s="499"/>
      <c r="C18" s="500">
        <v>13</v>
      </c>
      <c r="D18" s="502"/>
      <c r="E18" s="500"/>
      <c r="F18" s="500"/>
      <c r="G18" s="502"/>
      <c r="H18" s="610" t="str">
        <f t="shared" ca="1" si="1"/>
        <v/>
      </c>
      <c r="I18" s="500"/>
      <c r="J18" s="500"/>
      <c r="K18" s="500"/>
      <c r="L18" s="500"/>
      <c r="M18" s="500"/>
      <c r="N18" s="611" t="str">
        <f t="shared" si="0"/>
        <v>-</v>
      </c>
      <c r="O18" s="500"/>
      <c r="P18" s="500"/>
    </row>
    <row r="19" spans="1:16">
      <c r="A19" s="13"/>
      <c r="B19" s="499"/>
      <c r="C19" s="500">
        <v>14</v>
      </c>
      <c r="D19" s="502"/>
      <c r="E19" s="500"/>
      <c r="F19" s="500"/>
      <c r="G19" s="502"/>
      <c r="H19" s="610" t="str">
        <f t="shared" ca="1" si="1"/>
        <v/>
      </c>
      <c r="I19" s="500"/>
      <c r="J19" s="500"/>
      <c r="K19" s="500"/>
      <c r="L19" s="500"/>
      <c r="M19" s="500"/>
      <c r="N19" s="611" t="str">
        <f t="shared" si="0"/>
        <v>-</v>
      </c>
      <c r="O19" s="500"/>
      <c r="P19" s="500"/>
    </row>
    <row r="20" spans="1:16">
      <c r="A20" s="13"/>
      <c r="B20" s="499"/>
      <c r="C20" s="500">
        <v>15</v>
      </c>
      <c r="D20" s="502"/>
      <c r="E20" s="500"/>
      <c r="F20" s="500"/>
      <c r="G20" s="502"/>
      <c r="H20" s="610" t="str">
        <f t="shared" ca="1" si="1"/>
        <v/>
      </c>
      <c r="I20" s="500"/>
      <c r="J20" s="500"/>
      <c r="K20" s="500"/>
      <c r="L20" s="500"/>
      <c r="M20" s="500"/>
      <c r="N20" s="611" t="str">
        <f t="shared" si="0"/>
        <v>-</v>
      </c>
      <c r="O20" s="500"/>
      <c r="P20" s="500"/>
    </row>
    <row r="21" spans="1:16">
      <c r="A21" s="13"/>
      <c r="B21" s="499"/>
      <c r="C21" s="500">
        <v>16</v>
      </c>
      <c r="D21" s="502"/>
      <c r="E21" s="500"/>
      <c r="F21" s="500"/>
      <c r="G21" s="502"/>
      <c r="H21" s="610" t="str">
        <f t="shared" ca="1" si="1"/>
        <v/>
      </c>
      <c r="I21" s="500"/>
      <c r="J21" s="500"/>
      <c r="K21" s="500"/>
      <c r="L21" s="500"/>
      <c r="M21" s="500"/>
      <c r="N21" s="611" t="str">
        <f t="shared" si="0"/>
        <v>-</v>
      </c>
      <c r="O21" s="500"/>
      <c r="P21" s="500"/>
    </row>
    <row r="22" spans="1:16">
      <c r="A22" s="13"/>
      <c r="B22" s="499"/>
      <c r="C22" s="500">
        <v>17</v>
      </c>
      <c r="D22" s="502"/>
      <c r="E22" s="500"/>
      <c r="F22" s="500"/>
      <c r="G22" s="502"/>
      <c r="H22" s="610" t="str">
        <f t="shared" ca="1" si="1"/>
        <v/>
      </c>
      <c r="I22" s="500"/>
      <c r="J22" s="500"/>
      <c r="K22" s="500"/>
      <c r="L22" s="500"/>
      <c r="M22" s="500"/>
      <c r="N22" s="611" t="str">
        <f t="shared" si="0"/>
        <v>-</v>
      </c>
      <c r="O22" s="500"/>
      <c r="P22" s="500"/>
    </row>
    <row r="23" spans="1:16">
      <c r="A23" s="13"/>
      <c r="B23" s="499"/>
      <c r="C23" s="500">
        <v>18</v>
      </c>
      <c r="D23" s="502"/>
      <c r="E23" s="500"/>
      <c r="F23" s="500"/>
      <c r="G23" s="502"/>
      <c r="H23" s="610" t="str">
        <f t="shared" ca="1" si="1"/>
        <v/>
      </c>
      <c r="I23" s="500"/>
      <c r="J23" s="500"/>
      <c r="K23" s="500"/>
      <c r="L23" s="500"/>
      <c r="M23" s="500"/>
      <c r="N23" s="611" t="str">
        <f t="shared" si="0"/>
        <v>-</v>
      </c>
      <c r="O23" s="500"/>
      <c r="P23" s="500"/>
    </row>
    <row r="24" spans="1:16">
      <c r="A24" s="13"/>
      <c r="B24" s="499"/>
      <c r="C24" s="500">
        <v>19</v>
      </c>
      <c r="D24" s="502"/>
      <c r="E24" s="500"/>
      <c r="F24" s="500"/>
      <c r="G24" s="502"/>
      <c r="H24" s="610" t="str">
        <f t="shared" ca="1" si="1"/>
        <v/>
      </c>
      <c r="I24" s="500"/>
      <c r="J24" s="500"/>
      <c r="K24" s="500"/>
      <c r="L24" s="500"/>
      <c r="M24" s="500"/>
      <c r="N24" s="611" t="str">
        <f t="shared" si="0"/>
        <v>-</v>
      </c>
      <c r="O24" s="500"/>
      <c r="P24" s="500"/>
    </row>
    <row r="25" spans="1:16">
      <c r="A25" s="13"/>
      <c r="B25" s="499"/>
      <c r="C25" s="500">
        <v>20</v>
      </c>
      <c r="D25" s="502"/>
      <c r="E25" s="500"/>
      <c r="F25" s="500"/>
      <c r="G25" s="502"/>
      <c r="H25" s="610" t="str">
        <f t="shared" ca="1" si="1"/>
        <v/>
      </c>
      <c r="I25" s="500"/>
      <c r="J25" s="500"/>
      <c r="K25" s="500"/>
      <c r="L25" s="500"/>
      <c r="M25" s="500"/>
      <c r="N25" s="611" t="str">
        <f t="shared" si="0"/>
        <v>-</v>
      </c>
      <c r="O25" s="500"/>
      <c r="P25" s="500"/>
    </row>
    <row r="26" spans="1:16">
      <c r="A26" s="507"/>
      <c r="B26" s="508"/>
      <c r="C26" s="508"/>
      <c r="D26" s="508"/>
      <c r="E26" s="508"/>
      <c r="F26" s="508"/>
      <c r="G26" s="508"/>
      <c r="H26" s="508"/>
      <c r="I26" s="508"/>
      <c r="J26" s="508"/>
      <c r="K26" s="508"/>
      <c r="L26" s="508"/>
      <c r="M26" s="508"/>
      <c r="N26" s="510"/>
      <c r="O26" s="508"/>
      <c r="P26" s="509"/>
    </row>
    <row r="32" spans="1:16">
      <c r="C32" s="579" t="s">
        <v>392</v>
      </c>
      <c r="D32" s="579" t="s">
        <v>219</v>
      </c>
      <c r="E32" s="579" t="s">
        <v>65</v>
      </c>
    </row>
    <row r="33" spans="3:5">
      <c r="C33" s="18">
        <f>COUNTA(A5:P5)</f>
        <v>16</v>
      </c>
      <c r="D33" s="578">
        <f>COUNTA(F6:F25)</f>
        <v>5</v>
      </c>
      <c r="E33" s="578">
        <f>COUNTIF(B6:B25,1)+COUNTIF(B6:B25,2)</f>
        <v>10</v>
      </c>
    </row>
  </sheetData>
  <mergeCells count="1">
    <mergeCell ref="A1:C1"/>
  </mergeCells>
  <phoneticPr fontId="9"/>
  <conditionalFormatting sqref="B6:P25">
    <cfRule type="expression" dxfId="27" priority="13">
      <formula>($B6=0)</formula>
    </cfRule>
  </conditionalFormatting>
  <conditionalFormatting sqref="B8:G8">
    <cfRule type="expression" dxfId="26" priority="11">
      <formula>($B8=0)</formula>
    </cfRule>
  </conditionalFormatting>
  <conditionalFormatting sqref="I7:J8">
    <cfRule type="expression" dxfId="25" priority="10">
      <formula>($B7=0)</formula>
    </cfRule>
  </conditionalFormatting>
  <conditionalFormatting sqref="O7:O8">
    <cfRule type="expression" dxfId="24" priority="9">
      <formula>($B7=0)</formula>
    </cfRule>
  </conditionalFormatting>
  <conditionalFormatting sqref="M6:M7">
    <cfRule type="expression" dxfId="23" priority="8">
      <formula>($B6=0)</formula>
    </cfRule>
  </conditionalFormatting>
  <conditionalFormatting sqref="M8">
    <cfRule type="expression" dxfId="22" priority="7">
      <formula>($B8=0)</formula>
    </cfRule>
  </conditionalFormatting>
  <conditionalFormatting sqref="E3">
    <cfRule type="containsBlanks" dxfId="21" priority="14">
      <formula>LEN(TRIM(E3))=0</formula>
    </cfRule>
  </conditionalFormatting>
  <conditionalFormatting sqref="B13:G13">
    <cfRule type="expression" dxfId="20" priority="5">
      <formula>($B13=0)</formula>
    </cfRule>
  </conditionalFormatting>
  <conditionalFormatting sqref="I12:J13">
    <cfRule type="expression" dxfId="19" priority="4">
      <formula>($B12=0)</formula>
    </cfRule>
  </conditionalFormatting>
  <conditionalFormatting sqref="G13">
    <cfRule type="expression" dxfId="18" priority="3">
      <formula>($B13=0)</formula>
    </cfRule>
  </conditionalFormatting>
  <conditionalFormatting sqref="D11">
    <cfRule type="expression" dxfId="17" priority="2">
      <formula>($B11=0)</formula>
    </cfRule>
  </conditionalFormatting>
  <conditionalFormatting sqref="I10:J10">
    <cfRule type="expression" dxfId="16" priority="1">
      <formula>($B10=0)</formula>
    </cfRule>
  </conditionalFormatting>
  <pageMargins left="0.74803149606299213" right="0.74803149606299213" top="0.98425196850393704" bottom="0.98425196850393704" header="0.51181102362204722" footer="0.51181102362204722"/>
  <pageSetup paperSize="9" scale="58" orientation="landscape" horizontalDpi="4294967292" verticalDpi="4294967292"/>
  <headerFooter alignWithMargins="0">
    <oddHeader>&amp;C従業者名簿一覧&amp;R&amp;D</oddHeader>
    <oddFooter>&amp;R&amp;F &amp;A&amp;C株式会社○○△△</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32" r:id="rId3" name="Button 8">
              <controlPr defaultSize="0" print="0" autoFill="0" autoPict="0" macro="[0]!台帳作成">
                <anchor moveWithCells="1" sizeWithCells="1">
                  <from>
                    <xdr:col>1</xdr:col>
                    <xdr:colOff>0</xdr:colOff>
                    <xdr:row>27</xdr:row>
                    <xdr:rowOff>0</xdr:rowOff>
                  </from>
                  <to>
                    <xdr:col>2</xdr:col>
                    <xdr:colOff>762000</xdr:colOff>
                    <xdr:row>28</xdr:row>
                    <xdr:rowOff>139700</xdr:rowOff>
                  </to>
                </anchor>
              </controlPr>
            </control>
          </mc:Choice>
          <mc:Fallback/>
        </mc:AlternateContent>
        <mc:AlternateContent xmlns:mc="http://schemas.openxmlformats.org/markup-compatibility/2006">
          <mc:Choice Requires="x14">
            <control shapeId="1033" r:id="rId4" name="Button 9">
              <controlPr defaultSize="0" print="0" autoFill="0" autoPict="0" macro="[0]!台帳初期化">
                <anchor moveWithCells="1" sizeWithCells="1">
                  <from>
                    <xdr:col>3</xdr:col>
                    <xdr:colOff>12700</xdr:colOff>
                    <xdr:row>27</xdr:row>
                    <xdr:rowOff>0</xdr:rowOff>
                  </from>
                  <to>
                    <xdr:col>4</xdr:col>
                    <xdr:colOff>317500</xdr:colOff>
                    <xdr:row>28</xdr:row>
                    <xdr:rowOff>177800</xdr:rowOff>
                  </to>
                </anchor>
              </controlPr>
            </control>
          </mc:Choice>
          <mc:Fallback/>
        </mc:AlternateContent>
        <mc:AlternateContent xmlns:mc="http://schemas.openxmlformats.org/markup-compatibility/2006">
          <mc:Choice Requires="x14">
            <control shapeId="1035" r:id="rId5" name="Button 11">
              <controlPr defaultSize="0" print="0" autoFill="0" autoPict="0" macro="[0]!台帳印刷">
                <anchor moveWithCells="1" sizeWithCells="1">
                  <from>
                    <xdr:col>4</xdr:col>
                    <xdr:colOff>546100</xdr:colOff>
                    <xdr:row>27</xdr:row>
                    <xdr:rowOff>12700</xdr:rowOff>
                  </from>
                  <to>
                    <xdr:col>5</xdr:col>
                    <xdr:colOff>635000</xdr:colOff>
                    <xdr:row>28</xdr:row>
                    <xdr:rowOff>177800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yuKeisan" enableFormatConditionsCalculation="0">
    <tabColor indexed="13"/>
    <pageSetUpPr fitToPage="1"/>
  </sheetPr>
  <dimension ref="A1:U82"/>
  <sheetViews>
    <sheetView showGridLines="0" zoomScale="90" zoomScaleNormal="90" zoomScalePageLayoutView="90" workbookViewId="0">
      <pane xSplit="2" ySplit="2" topLeftCell="C3" activePane="bottomRight" state="frozen"/>
      <selection pane="topRight" activeCell="B1" sqref="B1"/>
      <selection pane="bottomLeft" activeCell="A2" sqref="A2"/>
      <selection pane="bottomRight" activeCell="C3" sqref="C3"/>
    </sheetView>
  </sheetViews>
  <sheetFormatPr baseColWidth="12" defaultColWidth="8.83203125" defaultRowHeight="18" x14ac:dyDescent="0"/>
  <cols>
    <col min="1" max="1" width="4" style="249" bestFit="1" customWidth="1"/>
    <col min="2" max="2" width="17" style="249" bestFit="1" customWidth="1"/>
    <col min="3" max="13" width="11.1640625" style="249" customWidth="1"/>
    <col min="14" max="14" width="10.1640625" style="249" customWidth="1"/>
    <col min="15" max="15" width="16.1640625" style="249" bestFit="1" customWidth="1"/>
    <col min="16" max="16" width="3.1640625" style="249" customWidth="1"/>
    <col min="17" max="17" width="10" style="249" bestFit="1" customWidth="1"/>
    <col min="18" max="18" width="12.83203125" style="249" bestFit="1" customWidth="1"/>
    <col min="19" max="19" width="3.33203125" style="249" customWidth="1"/>
    <col min="20" max="20" width="4" style="249" bestFit="1" customWidth="1"/>
    <col min="21" max="21" width="27.33203125" style="249" bestFit="1" customWidth="1"/>
    <col min="22" max="16384" width="8.83203125" style="249"/>
  </cols>
  <sheetData>
    <row r="1" spans="1:21" ht="19" thickBot="1">
      <c r="B1" s="569" t="s">
        <v>307</v>
      </c>
      <c r="C1" s="570">
        <v>1</v>
      </c>
      <c r="D1" s="570">
        <v>2</v>
      </c>
      <c r="E1" s="570">
        <v>3</v>
      </c>
      <c r="F1" s="570">
        <v>4</v>
      </c>
      <c r="G1" s="570">
        <v>5</v>
      </c>
      <c r="H1" s="570">
        <v>6</v>
      </c>
      <c r="I1" s="570">
        <v>7</v>
      </c>
      <c r="J1" s="570">
        <v>8</v>
      </c>
      <c r="K1" s="570">
        <v>9</v>
      </c>
      <c r="L1" s="570">
        <v>10</v>
      </c>
      <c r="Q1" s="249" t="s">
        <v>308</v>
      </c>
      <c r="R1" s="463">
        <f ca="1">COUNTA(B2:M2)-2</f>
        <v>10</v>
      </c>
    </row>
    <row r="2" spans="1:21" ht="15" customHeight="1" thickBot="1">
      <c r="A2" s="581">
        <v>1</v>
      </c>
      <c r="B2" s="553">
        <f ca="1">NOW()</f>
        <v>42253.370363194445</v>
      </c>
      <c r="C2" s="245" t="str">
        <f t="shared" ref="C2:L2" si="0">T(VLOOKUP(C$1,従業者一覧表,6))</f>
        <v>A</v>
      </c>
      <c r="D2" s="245" t="str">
        <f t="shared" si="0"/>
        <v>B</v>
      </c>
      <c r="E2" s="245" t="str">
        <f t="shared" si="0"/>
        <v>C</v>
      </c>
      <c r="F2" s="245" t="str">
        <f t="shared" si="0"/>
        <v>D</v>
      </c>
      <c r="G2" s="245" t="str">
        <f t="shared" si="0"/>
        <v>E</v>
      </c>
      <c r="H2" s="245" t="str">
        <f t="shared" si="0"/>
        <v/>
      </c>
      <c r="I2" s="245" t="str">
        <f t="shared" si="0"/>
        <v/>
      </c>
      <c r="J2" s="245" t="str">
        <f t="shared" si="0"/>
        <v/>
      </c>
      <c r="K2" s="245" t="str">
        <f t="shared" si="0"/>
        <v/>
      </c>
      <c r="L2" s="245" t="str">
        <f t="shared" si="0"/>
        <v/>
      </c>
      <c r="M2" s="246" t="s">
        <v>45</v>
      </c>
      <c r="O2" s="248" t="s">
        <v>434</v>
      </c>
    </row>
    <row r="3" spans="1:21" ht="15" customHeight="1" thickBot="1">
      <c r="A3" s="581">
        <v>2</v>
      </c>
      <c r="B3" s="250" t="s">
        <v>21</v>
      </c>
      <c r="C3" s="492"/>
      <c r="D3" s="492"/>
      <c r="E3" s="492"/>
      <c r="F3" s="492"/>
      <c r="G3" s="492"/>
      <c r="H3" s="492"/>
      <c r="I3" s="492"/>
      <c r="J3" s="492"/>
      <c r="K3" s="492"/>
      <c r="L3" s="492"/>
      <c r="M3" s="320">
        <f t="shared" ref="M3:M15" si="1">SUM(C3:L3)</f>
        <v>0</v>
      </c>
      <c r="Q3" s="617" t="s">
        <v>292</v>
      </c>
      <c r="R3" s="617"/>
      <c r="T3" s="485">
        <f ca="1">MONTH(NOW())</f>
        <v>9</v>
      </c>
      <c r="U3" s="486" t="str">
        <f ca="1">T(VLOOKUP(T3,T4:U15,2))</f>
        <v/>
      </c>
    </row>
    <row r="4" spans="1:21" ht="15" customHeight="1">
      <c r="A4" s="581">
        <v>3</v>
      </c>
      <c r="B4" s="253" t="s">
        <v>105</v>
      </c>
      <c r="C4" s="493"/>
      <c r="D4" s="493"/>
      <c r="E4" s="493"/>
      <c r="F4" s="493"/>
      <c r="G4" s="493"/>
      <c r="H4" s="493"/>
      <c r="I4" s="493"/>
      <c r="J4" s="493"/>
      <c r="K4" s="493"/>
      <c r="L4" s="493"/>
      <c r="M4" s="321">
        <f t="shared" si="1"/>
        <v>0</v>
      </c>
      <c r="Q4" s="618" t="str">
        <f ca="1">U3</f>
        <v/>
      </c>
      <c r="R4" s="618"/>
      <c r="T4" s="408">
        <v>1</v>
      </c>
      <c r="U4" s="411"/>
    </row>
    <row r="5" spans="1:21" ht="15" customHeight="1">
      <c r="A5" s="581">
        <v>4</v>
      </c>
      <c r="B5" s="253" t="s">
        <v>246</v>
      </c>
      <c r="C5" s="493"/>
      <c r="D5" s="493"/>
      <c r="E5" s="493"/>
      <c r="F5" s="493"/>
      <c r="G5" s="493"/>
      <c r="H5" s="493"/>
      <c r="I5" s="493"/>
      <c r="J5" s="493"/>
      <c r="K5" s="493"/>
      <c r="L5" s="493"/>
      <c r="M5" s="321">
        <f t="shared" si="1"/>
        <v>0</v>
      </c>
      <c r="Q5" s="618"/>
      <c r="R5" s="618"/>
      <c r="T5" s="407">
        <v>2</v>
      </c>
      <c r="U5" s="412"/>
    </row>
    <row r="6" spans="1:21" ht="15" customHeight="1">
      <c r="A6" s="581">
        <v>5</v>
      </c>
      <c r="B6" s="253" t="s">
        <v>32</v>
      </c>
      <c r="C6" s="493"/>
      <c r="D6" s="493"/>
      <c r="E6" s="493"/>
      <c r="F6" s="493"/>
      <c r="G6" s="493"/>
      <c r="H6" s="493"/>
      <c r="I6" s="493"/>
      <c r="J6" s="493"/>
      <c r="K6" s="493"/>
      <c r="L6" s="493"/>
      <c r="M6" s="321">
        <f t="shared" si="1"/>
        <v>0</v>
      </c>
      <c r="Q6" s="618"/>
      <c r="R6" s="618"/>
      <c r="T6" s="407">
        <v>3</v>
      </c>
      <c r="U6" s="412"/>
    </row>
    <row r="7" spans="1:21" ht="15" customHeight="1">
      <c r="A7" s="581">
        <v>6</v>
      </c>
      <c r="B7" s="253" t="s">
        <v>35</v>
      </c>
      <c r="C7" s="493"/>
      <c r="D7" s="493"/>
      <c r="E7" s="493"/>
      <c r="F7" s="493"/>
      <c r="G7" s="493"/>
      <c r="H7" s="493"/>
      <c r="I7" s="493"/>
      <c r="J7" s="493"/>
      <c r="K7" s="493"/>
      <c r="L7" s="493"/>
      <c r="M7" s="321">
        <f t="shared" si="1"/>
        <v>0</v>
      </c>
      <c r="T7" s="407">
        <v>4</v>
      </c>
      <c r="U7" s="412" t="s">
        <v>297</v>
      </c>
    </row>
    <row r="8" spans="1:21" ht="15" customHeight="1">
      <c r="A8" s="581">
        <v>7</v>
      </c>
      <c r="B8" s="253" t="s">
        <v>228</v>
      </c>
      <c r="C8" s="493"/>
      <c r="D8" s="493"/>
      <c r="E8" s="493"/>
      <c r="F8" s="493"/>
      <c r="G8" s="493"/>
      <c r="H8" s="493"/>
      <c r="I8" s="493"/>
      <c r="J8" s="493"/>
      <c r="K8" s="493"/>
      <c r="L8" s="493"/>
      <c r="M8" s="321">
        <f t="shared" si="1"/>
        <v>0</v>
      </c>
      <c r="O8" s="410" t="str">
        <f ca="1">IF(M31=U17,"転記済","転記必要")</f>
        <v>転記済</v>
      </c>
      <c r="Q8" s="407"/>
      <c r="R8" s="287" t="s">
        <v>288</v>
      </c>
      <c r="T8" s="407">
        <v>5</v>
      </c>
      <c r="U8" s="412"/>
    </row>
    <row r="9" spans="1:21" ht="15" customHeight="1">
      <c r="A9" s="581">
        <v>8</v>
      </c>
      <c r="B9" s="254" t="s">
        <v>264</v>
      </c>
      <c r="C9" s="494"/>
      <c r="D9" s="494"/>
      <c r="E9" s="494"/>
      <c r="F9" s="494"/>
      <c r="G9" s="494"/>
      <c r="H9" s="494"/>
      <c r="I9" s="494"/>
      <c r="J9" s="494"/>
      <c r="K9" s="494"/>
      <c r="L9" s="494"/>
      <c r="M9" s="322">
        <f t="shared" si="1"/>
        <v>0</v>
      </c>
      <c r="O9" s="255"/>
      <c r="Q9" s="287" t="s">
        <v>285</v>
      </c>
      <c r="R9" s="443" t="str">
        <f>保険料額表!G2</f>
        <v>H27.4</v>
      </c>
      <c r="T9" s="407">
        <v>6</v>
      </c>
      <c r="U9" s="412" t="s">
        <v>284</v>
      </c>
    </row>
    <row r="10" spans="1:21" ht="15" customHeight="1">
      <c r="A10" s="581">
        <v>9</v>
      </c>
      <c r="B10" s="256" t="s">
        <v>163</v>
      </c>
      <c r="C10" s="257">
        <f t="shared" ref="C10:F10" si="2">SUM(C3:C9)</f>
        <v>0</v>
      </c>
      <c r="D10" s="257">
        <f t="shared" si="2"/>
        <v>0</v>
      </c>
      <c r="E10" s="257">
        <f t="shared" si="2"/>
        <v>0</v>
      </c>
      <c r="F10" s="257">
        <f t="shared" si="2"/>
        <v>0</v>
      </c>
      <c r="G10" s="257">
        <f t="shared" ref="G10:L10" si="3">SUM(G3:G9)</f>
        <v>0</v>
      </c>
      <c r="H10" s="257">
        <f t="shared" si="3"/>
        <v>0</v>
      </c>
      <c r="I10" s="257">
        <f t="shared" si="3"/>
        <v>0</v>
      </c>
      <c r="J10" s="257">
        <f t="shared" si="3"/>
        <v>0</v>
      </c>
      <c r="K10" s="257">
        <f t="shared" si="3"/>
        <v>0</v>
      </c>
      <c r="L10" s="257">
        <f t="shared" si="3"/>
        <v>0</v>
      </c>
      <c r="M10" s="323">
        <f t="shared" si="1"/>
        <v>0</v>
      </c>
      <c r="Q10" s="287" t="s">
        <v>286</v>
      </c>
      <c r="R10" s="443" t="str">
        <f>保険料額表!H2</f>
        <v>H27.4</v>
      </c>
      <c r="T10" s="407">
        <v>7</v>
      </c>
      <c r="U10" s="412" t="s">
        <v>281</v>
      </c>
    </row>
    <row r="11" spans="1:21" ht="15" customHeight="1">
      <c r="A11" s="581">
        <v>10</v>
      </c>
      <c r="B11" s="250" t="s">
        <v>26</v>
      </c>
      <c r="C11" s="258"/>
      <c r="D11" s="258"/>
      <c r="E11" s="258"/>
      <c r="F11" s="258"/>
      <c r="G11" s="258"/>
      <c r="H11" s="258"/>
      <c r="I11" s="258"/>
      <c r="J11" s="258"/>
      <c r="K11" s="258"/>
      <c r="L11" s="258"/>
      <c r="M11" s="320">
        <f t="shared" si="1"/>
        <v>0</v>
      </c>
      <c r="Q11" s="287" t="s">
        <v>287</v>
      </c>
      <c r="R11" s="443" t="str">
        <f>保険料額表!I2</f>
        <v>H26.9</v>
      </c>
      <c r="T11" s="407">
        <v>8</v>
      </c>
      <c r="U11" s="412"/>
    </row>
    <row r="12" spans="1:21" ht="15" customHeight="1">
      <c r="A12" s="581">
        <v>11</v>
      </c>
      <c r="B12" s="254" t="s">
        <v>48</v>
      </c>
      <c r="C12" s="259"/>
      <c r="D12" s="259"/>
      <c r="E12" s="259"/>
      <c r="F12" s="259"/>
      <c r="G12" s="259"/>
      <c r="H12" s="259"/>
      <c r="I12" s="259"/>
      <c r="J12" s="259"/>
      <c r="K12" s="259"/>
      <c r="L12" s="259"/>
      <c r="M12" s="322">
        <f t="shared" si="1"/>
        <v>0</v>
      </c>
      <c r="O12" s="249" t="s">
        <v>233</v>
      </c>
      <c r="T12" s="407">
        <v>9</v>
      </c>
      <c r="U12" s="412"/>
    </row>
    <row r="13" spans="1:21" ht="15" customHeight="1">
      <c r="A13" s="581">
        <v>12</v>
      </c>
      <c r="B13" s="256" t="s">
        <v>45</v>
      </c>
      <c r="C13" s="257">
        <f t="shared" ref="C13:E13" si="4">SUM(C10:C12)</f>
        <v>0</v>
      </c>
      <c r="D13" s="257">
        <f t="shared" si="4"/>
        <v>0</v>
      </c>
      <c r="E13" s="257">
        <f t="shared" si="4"/>
        <v>0</v>
      </c>
      <c r="F13" s="257">
        <f>SUM(F10:F12)</f>
        <v>0</v>
      </c>
      <c r="G13" s="257">
        <f t="shared" ref="G13:L13" si="5">SUM(G10:G12)</f>
        <v>0</v>
      </c>
      <c r="H13" s="257">
        <f t="shared" si="5"/>
        <v>0</v>
      </c>
      <c r="I13" s="257">
        <f t="shared" si="5"/>
        <v>0</v>
      </c>
      <c r="J13" s="257">
        <f t="shared" si="5"/>
        <v>0</v>
      </c>
      <c r="K13" s="257">
        <f t="shared" si="5"/>
        <v>0</v>
      </c>
      <c r="L13" s="257">
        <f t="shared" si="5"/>
        <v>0</v>
      </c>
      <c r="M13" s="323">
        <f t="shared" si="1"/>
        <v>0</v>
      </c>
      <c r="O13" s="260" t="s">
        <v>41</v>
      </c>
      <c r="Q13" s="251" t="s">
        <v>89</v>
      </c>
      <c r="R13" s="252"/>
      <c r="T13" s="407">
        <v>10</v>
      </c>
      <c r="U13" s="412"/>
    </row>
    <row r="14" spans="1:21" ht="15" customHeight="1">
      <c r="A14" s="581">
        <v>13</v>
      </c>
      <c r="B14" s="261" t="s">
        <v>1</v>
      </c>
      <c r="C14" s="491"/>
      <c r="D14" s="491"/>
      <c r="E14" s="491"/>
      <c r="F14" s="491"/>
      <c r="G14" s="491"/>
      <c r="H14" s="491"/>
      <c r="I14" s="491"/>
      <c r="J14" s="491"/>
      <c r="K14" s="491"/>
      <c r="L14" s="491"/>
      <c r="M14" s="324">
        <f t="shared" si="1"/>
        <v>0</v>
      </c>
      <c r="Q14" s="487" t="s">
        <v>195</v>
      </c>
      <c r="R14" s="489">
        <v>10000</v>
      </c>
      <c r="T14" s="407">
        <v>11</v>
      </c>
      <c r="U14" s="412"/>
    </row>
    <row r="15" spans="1:21" ht="15" customHeight="1" thickBot="1">
      <c r="A15" s="581">
        <v>14</v>
      </c>
      <c r="B15" s="262" t="s">
        <v>50</v>
      </c>
      <c r="C15" s="263">
        <f t="shared" ref="C15:E15" si="6">SUM(C13:C14)</f>
        <v>0</v>
      </c>
      <c r="D15" s="263">
        <f t="shared" si="6"/>
        <v>0</v>
      </c>
      <c r="E15" s="263">
        <f t="shared" si="6"/>
        <v>0</v>
      </c>
      <c r="F15" s="263">
        <f>SUM(F13:F14)</f>
        <v>0</v>
      </c>
      <c r="G15" s="263">
        <f t="shared" ref="G15:L15" si="7">SUM(G13:G14)</f>
        <v>0</v>
      </c>
      <c r="H15" s="263">
        <f t="shared" si="7"/>
        <v>0</v>
      </c>
      <c r="I15" s="263">
        <f t="shared" si="7"/>
        <v>0</v>
      </c>
      <c r="J15" s="263">
        <f t="shared" si="7"/>
        <v>0</v>
      </c>
      <c r="K15" s="263">
        <f t="shared" si="7"/>
        <v>0</v>
      </c>
      <c r="L15" s="263">
        <f t="shared" si="7"/>
        <v>0</v>
      </c>
      <c r="M15" s="325">
        <f t="shared" si="1"/>
        <v>0</v>
      </c>
      <c r="O15" s="260" t="s">
        <v>51</v>
      </c>
      <c r="Q15" s="487" t="s">
        <v>214</v>
      </c>
      <c r="R15" s="489">
        <v>5000</v>
      </c>
      <c r="T15" s="407">
        <v>12</v>
      </c>
      <c r="U15" s="412"/>
    </row>
    <row r="16" spans="1:21" ht="15" customHeight="1" thickBot="1">
      <c r="A16" s="581"/>
      <c r="M16" s="326"/>
    </row>
    <row r="17" spans="1:21" ht="15" customHeight="1" thickBot="1">
      <c r="A17" s="581">
        <v>16</v>
      </c>
      <c r="B17" s="265" t="s">
        <v>215</v>
      </c>
      <c r="C17" s="266">
        <f t="shared" ref="C17:G17" si="8">IF(C2="",0,C68)</f>
        <v>0</v>
      </c>
      <c r="D17" s="266">
        <f t="shared" si="8"/>
        <v>0</v>
      </c>
      <c r="E17" s="266">
        <f t="shared" si="8"/>
        <v>0</v>
      </c>
      <c r="F17" s="266">
        <f t="shared" si="8"/>
        <v>0</v>
      </c>
      <c r="G17" s="266">
        <f t="shared" si="8"/>
        <v>0</v>
      </c>
      <c r="H17" s="266">
        <f t="shared" ref="H17:L17" si="9">IF(H2="",0,H68)</f>
        <v>0</v>
      </c>
      <c r="I17" s="266">
        <f t="shared" si="9"/>
        <v>0</v>
      </c>
      <c r="J17" s="266">
        <f t="shared" si="9"/>
        <v>0</v>
      </c>
      <c r="K17" s="266">
        <f t="shared" si="9"/>
        <v>0</v>
      </c>
      <c r="L17" s="266">
        <f t="shared" si="9"/>
        <v>0</v>
      </c>
      <c r="M17" s="327">
        <f>SUM(C17:L17)</f>
        <v>0</v>
      </c>
      <c r="O17" s="488" t="s">
        <v>290</v>
      </c>
      <c r="Q17" s="279"/>
      <c r="R17" s="447"/>
      <c r="T17" s="483">
        <f ca="1">MONTH(NOW())</f>
        <v>9</v>
      </c>
      <c r="U17" s="484">
        <f ca="1">VLOOKUP(T17,T18:U29,2)</f>
        <v>0</v>
      </c>
    </row>
    <row r="18" spans="1:21" ht="15" customHeight="1">
      <c r="A18" s="581">
        <v>17</v>
      </c>
      <c r="B18" s="253" t="s">
        <v>13</v>
      </c>
      <c r="C18" s="267">
        <f t="shared" ref="C18:G18" si="10">IF(C2="",0,C69)</f>
        <v>0</v>
      </c>
      <c r="D18" s="267">
        <f t="shared" si="10"/>
        <v>0</v>
      </c>
      <c r="E18" s="267">
        <f t="shared" si="10"/>
        <v>0</v>
      </c>
      <c r="F18" s="267">
        <f t="shared" si="10"/>
        <v>0</v>
      </c>
      <c r="G18" s="267">
        <f t="shared" si="10"/>
        <v>0</v>
      </c>
      <c r="H18" s="267">
        <f t="shared" ref="H18:L18" si="11">IF(H2="",0,H69)</f>
        <v>0</v>
      </c>
      <c r="I18" s="267">
        <f t="shared" si="11"/>
        <v>0</v>
      </c>
      <c r="J18" s="267">
        <f t="shared" si="11"/>
        <v>0</v>
      </c>
      <c r="K18" s="267">
        <f t="shared" si="11"/>
        <v>0</v>
      </c>
      <c r="L18" s="267">
        <f t="shared" si="11"/>
        <v>0</v>
      </c>
      <c r="M18" s="321">
        <f>SUM(C18:L18)</f>
        <v>0</v>
      </c>
      <c r="O18" s="488" t="s">
        <v>291</v>
      </c>
      <c r="Q18" s="279"/>
      <c r="T18" s="408">
        <v>1</v>
      </c>
      <c r="U18" s="409">
        <f>台帳合計表!B34</f>
        <v>0</v>
      </c>
    </row>
    <row r="19" spans="1:21" ht="15" customHeight="1">
      <c r="A19" s="581">
        <v>18</v>
      </c>
      <c r="B19" s="254" t="s">
        <v>100</v>
      </c>
      <c r="C19" s="268">
        <f t="shared" ref="C19:L19" si="12">IF(C2="",0,C61)</f>
        <v>0</v>
      </c>
      <c r="D19" s="268">
        <f t="shared" si="12"/>
        <v>0</v>
      </c>
      <c r="E19" s="268">
        <f t="shared" si="12"/>
        <v>0</v>
      </c>
      <c r="F19" s="268">
        <f t="shared" si="12"/>
        <v>0</v>
      </c>
      <c r="G19" s="268">
        <f t="shared" si="12"/>
        <v>0</v>
      </c>
      <c r="H19" s="268">
        <f t="shared" si="12"/>
        <v>0</v>
      </c>
      <c r="I19" s="268">
        <f t="shared" si="12"/>
        <v>0</v>
      </c>
      <c r="J19" s="268">
        <f t="shared" si="12"/>
        <v>0</v>
      </c>
      <c r="K19" s="268">
        <f t="shared" si="12"/>
        <v>0</v>
      </c>
      <c r="L19" s="268">
        <f t="shared" si="12"/>
        <v>0</v>
      </c>
      <c r="M19" s="322">
        <f>SUM(C19:L19)</f>
        <v>0</v>
      </c>
      <c r="O19" s="260" t="s">
        <v>249</v>
      </c>
      <c r="P19" s="434"/>
      <c r="Q19" s="279"/>
      <c r="R19" s="279"/>
      <c r="T19" s="407">
        <v>2</v>
      </c>
      <c r="U19" s="288">
        <f>台帳合計表!C34</f>
        <v>0</v>
      </c>
    </row>
    <row r="20" spans="1:21" ht="15" customHeight="1" thickBot="1">
      <c r="A20" s="581">
        <v>19</v>
      </c>
      <c r="B20" s="256" t="s">
        <v>163</v>
      </c>
      <c r="C20" s="257">
        <f t="shared" ref="C20:E20" si="13">SUM(C17:C19)</f>
        <v>0</v>
      </c>
      <c r="D20" s="257">
        <f t="shared" si="13"/>
        <v>0</v>
      </c>
      <c r="E20" s="257">
        <f t="shared" si="13"/>
        <v>0</v>
      </c>
      <c r="F20" s="257">
        <f>SUM(F17:F19)</f>
        <v>0</v>
      </c>
      <c r="G20" s="257">
        <f t="shared" ref="G20:L20" si="14">SUM(G17:G19)</f>
        <v>0</v>
      </c>
      <c r="H20" s="257">
        <f t="shared" si="14"/>
        <v>0</v>
      </c>
      <c r="I20" s="257">
        <f t="shared" si="14"/>
        <v>0</v>
      </c>
      <c r="J20" s="257">
        <f t="shared" si="14"/>
        <v>0</v>
      </c>
      <c r="K20" s="257">
        <f t="shared" si="14"/>
        <v>0</v>
      </c>
      <c r="L20" s="257">
        <f t="shared" si="14"/>
        <v>0</v>
      </c>
      <c r="M20" s="323">
        <f>SUM(C20:L20)</f>
        <v>0</v>
      </c>
      <c r="O20" s="260" t="s">
        <v>250</v>
      </c>
      <c r="Q20" s="279"/>
      <c r="R20" s="279"/>
      <c r="T20" s="407">
        <v>3</v>
      </c>
      <c r="U20" s="288">
        <f>台帳合計表!D34</f>
        <v>0</v>
      </c>
    </row>
    <row r="21" spans="1:21" ht="15" customHeight="1">
      <c r="A21" s="581"/>
      <c r="B21" s="269" t="s">
        <v>150</v>
      </c>
      <c r="C21" s="270">
        <f t="shared" ref="C21:F21" si="15">C13-C20</f>
        <v>0</v>
      </c>
      <c r="D21" s="270">
        <f t="shared" si="15"/>
        <v>0</v>
      </c>
      <c r="E21" s="270">
        <f t="shared" si="15"/>
        <v>0</v>
      </c>
      <c r="F21" s="270">
        <f t="shared" si="15"/>
        <v>0</v>
      </c>
      <c r="G21" s="270">
        <f t="shared" ref="G21:L21" si="16">G13-G20</f>
        <v>0</v>
      </c>
      <c r="H21" s="270">
        <f t="shared" si="16"/>
        <v>0</v>
      </c>
      <c r="I21" s="270">
        <f t="shared" si="16"/>
        <v>0</v>
      </c>
      <c r="J21" s="270">
        <f t="shared" si="16"/>
        <v>0</v>
      </c>
      <c r="K21" s="270">
        <f t="shared" si="16"/>
        <v>0</v>
      </c>
      <c r="L21" s="270">
        <f t="shared" si="16"/>
        <v>0</v>
      </c>
      <c r="M21" s="271">
        <f>SUM(C21:L21)</f>
        <v>0</v>
      </c>
      <c r="O21" s="260" t="s">
        <v>203</v>
      </c>
      <c r="T21" s="407">
        <v>4</v>
      </c>
      <c r="U21" s="288">
        <f>台帳合計表!E34</f>
        <v>0</v>
      </c>
    </row>
    <row r="22" spans="1:21" ht="15" customHeight="1" thickBot="1">
      <c r="A22" s="581"/>
      <c r="B22" s="272" t="s">
        <v>252</v>
      </c>
      <c r="C22" s="273">
        <v>0</v>
      </c>
      <c r="D22" s="273">
        <v>0</v>
      </c>
      <c r="E22" s="274">
        <v>0</v>
      </c>
      <c r="F22" s="273"/>
      <c r="G22" s="273"/>
      <c r="H22" s="273"/>
      <c r="I22" s="273"/>
      <c r="J22" s="273"/>
      <c r="K22" s="273"/>
      <c r="L22" s="273"/>
      <c r="M22" s="328"/>
      <c r="O22" s="488" t="s">
        <v>253</v>
      </c>
      <c r="T22" s="407">
        <v>5</v>
      </c>
      <c r="U22" s="288">
        <f>台帳合計表!F34</f>
        <v>0</v>
      </c>
    </row>
    <row r="23" spans="1:21" ht="15" customHeight="1">
      <c r="A23" s="581">
        <v>22</v>
      </c>
      <c r="B23" s="250" t="s">
        <v>15</v>
      </c>
      <c r="C23" s="275">
        <f t="shared" ref="C23:G23" si="17">IF(C2="",0,C57*$N$23)</f>
        <v>0</v>
      </c>
      <c r="D23" s="275">
        <f t="shared" si="17"/>
        <v>0</v>
      </c>
      <c r="E23" s="275">
        <f t="shared" si="17"/>
        <v>0</v>
      </c>
      <c r="F23" s="275">
        <f t="shared" si="17"/>
        <v>0</v>
      </c>
      <c r="G23" s="275">
        <f t="shared" si="17"/>
        <v>0</v>
      </c>
      <c r="H23" s="275">
        <f t="shared" ref="H23:L23" si="18">IF(H2="",0,H57*$N$23)</f>
        <v>0</v>
      </c>
      <c r="I23" s="275">
        <f t="shared" si="18"/>
        <v>0</v>
      </c>
      <c r="J23" s="275">
        <f t="shared" si="18"/>
        <v>0</v>
      </c>
      <c r="K23" s="275">
        <f t="shared" si="18"/>
        <v>0</v>
      </c>
      <c r="L23" s="275">
        <f t="shared" si="18"/>
        <v>0</v>
      </c>
      <c r="M23" s="320">
        <f t="shared" ref="M23:M29" si="19">SUM(C23:L23)</f>
        <v>0</v>
      </c>
      <c r="N23" s="249">
        <v>1</v>
      </c>
      <c r="O23" s="260" t="s">
        <v>242</v>
      </c>
      <c r="T23" s="407">
        <v>6</v>
      </c>
      <c r="U23" s="288">
        <f>台帳合計表!G34</f>
        <v>0</v>
      </c>
    </row>
    <row r="24" spans="1:21" ht="15" customHeight="1">
      <c r="A24" s="581">
        <v>23</v>
      </c>
      <c r="B24" s="495" t="s">
        <v>295</v>
      </c>
      <c r="C24" s="276"/>
      <c r="D24" s="276"/>
      <c r="E24" s="276"/>
      <c r="F24" s="276"/>
      <c r="G24" s="276"/>
      <c r="H24" s="276"/>
      <c r="I24" s="276"/>
      <c r="J24" s="276"/>
      <c r="K24" s="276"/>
      <c r="L24" s="276"/>
      <c r="M24" s="329">
        <f t="shared" si="19"/>
        <v>0</v>
      </c>
      <c r="O24" s="277" t="s">
        <v>37</v>
      </c>
      <c r="T24" s="407">
        <v>7</v>
      </c>
      <c r="U24" s="288">
        <f>台帳合計表!H34</f>
        <v>0</v>
      </c>
    </row>
    <row r="25" spans="1:21" ht="15" customHeight="1">
      <c r="A25" s="581">
        <v>24</v>
      </c>
      <c r="B25" s="496" t="s">
        <v>260</v>
      </c>
      <c r="C25" s="278"/>
      <c r="D25" s="278"/>
      <c r="E25" s="278"/>
      <c r="F25" s="278"/>
      <c r="G25" s="278"/>
      <c r="H25" s="278"/>
      <c r="I25" s="278"/>
      <c r="J25" s="278"/>
      <c r="K25" s="278"/>
      <c r="L25" s="278"/>
      <c r="M25" s="321">
        <f t="shared" si="19"/>
        <v>0</v>
      </c>
      <c r="O25" s="488" t="s">
        <v>248</v>
      </c>
      <c r="R25" s="442"/>
      <c r="T25" s="407">
        <v>8</v>
      </c>
      <c r="U25" s="288">
        <f>台帳合計表!I34</f>
        <v>0</v>
      </c>
    </row>
    <row r="26" spans="1:21" ht="15" customHeight="1">
      <c r="A26" s="581">
        <v>25</v>
      </c>
      <c r="B26" s="496" t="s">
        <v>424</v>
      </c>
      <c r="C26" s="278"/>
      <c r="D26" s="278"/>
      <c r="E26" s="278"/>
      <c r="F26" s="278"/>
      <c r="G26" s="278"/>
      <c r="H26" s="278"/>
      <c r="I26" s="278"/>
      <c r="J26" s="278"/>
      <c r="K26" s="278"/>
      <c r="L26" s="278"/>
      <c r="M26" s="321">
        <f t="shared" si="19"/>
        <v>0</v>
      </c>
      <c r="Q26" s="442"/>
      <c r="R26" s="442"/>
      <c r="T26" s="407">
        <v>9</v>
      </c>
      <c r="U26" s="288">
        <f>台帳合計表!J34</f>
        <v>0</v>
      </c>
    </row>
    <row r="27" spans="1:21" ht="15" customHeight="1">
      <c r="A27" s="581">
        <v>26</v>
      </c>
      <c r="B27" s="496" t="s">
        <v>425</v>
      </c>
      <c r="C27" s="278"/>
      <c r="D27" s="278"/>
      <c r="E27" s="278"/>
      <c r="F27" s="278"/>
      <c r="G27" s="278"/>
      <c r="H27" s="278"/>
      <c r="I27" s="278"/>
      <c r="J27" s="278"/>
      <c r="K27" s="278"/>
      <c r="L27" s="278"/>
      <c r="M27" s="321">
        <f t="shared" si="19"/>
        <v>0</v>
      </c>
      <c r="T27" s="407">
        <v>10</v>
      </c>
      <c r="U27" s="288">
        <f>台帳合計表!K34</f>
        <v>0</v>
      </c>
    </row>
    <row r="28" spans="1:21" ht="15" customHeight="1">
      <c r="A28" s="581">
        <v>27</v>
      </c>
      <c r="B28" s="497" t="s">
        <v>298</v>
      </c>
      <c r="C28" s="259"/>
      <c r="D28" s="259"/>
      <c r="E28" s="259"/>
      <c r="F28" s="259"/>
      <c r="G28" s="259"/>
      <c r="H28" s="259"/>
      <c r="I28" s="259"/>
      <c r="J28" s="259"/>
      <c r="K28" s="259"/>
      <c r="L28" s="259"/>
      <c r="M28" s="322">
        <f t="shared" si="19"/>
        <v>0</v>
      </c>
      <c r="T28" s="407">
        <v>11</v>
      </c>
      <c r="U28" s="288">
        <f>台帳合計表!L34</f>
        <v>0</v>
      </c>
    </row>
    <row r="29" spans="1:21" ht="15" customHeight="1" thickBot="1">
      <c r="A29" s="581">
        <v>28</v>
      </c>
      <c r="B29" s="262" t="s">
        <v>124</v>
      </c>
      <c r="C29" s="263">
        <f t="shared" ref="C29:E29" si="20">SUM(C23:C28)+C20</f>
        <v>0</v>
      </c>
      <c r="D29" s="263">
        <f t="shared" si="20"/>
        <v>0</v>
      </c>
      <c r="E29" s="263">
        <f t="shared" si="20"/>
        <v>0</v>
      </c>
      <c r="F29" s="263">
        <f>SUM(F23:F28)+F20</f>
        <v>0</v>
      </c>
      <c r="G29" s="263">
        <f t="shared" ref="G29:L29" si="21">SUM(G23:G28)+G20</f>
        <v>0</v>
      </c>
      <c r="H29" s="263">
        <f t="shared" si="21"/>
        <v>0</v>
      </c>
      <c r="I29" s="263">
        <f t="shared" si="21"/>
        <v>0</v>
      </c>
      <c r="J29" s="263">
        <f t="shared" si="21"/>
        <v>0</v>
      </c>
      <c r="K29" s="263">
        <f t="shared" si="21"/>
        <v>0</v>
      </c>
      <c r="L29" s="263">
        <f t="shared" si="21"/>
        <v>0</v>
      </c>
      <c r="M29" s="264">
        <f t="shared" si="19"/>
        <v>0</v>
      </c>
      <c r="O29" s="260" t="s">
        <v>240</v>
      </c>
      <c r="T29" s="407">
        <v>12</v>
      </c>
      <c r="U29" s="288">
        <f>台帳合計表!M34</f>
        <v>0</v>
      </c>
    </row>
    <row r="30" spans="1:21" ht="15" customHeight="1" thickBot="1">
      <c r="A30" s="581"/>
      <c r="B30" s="279"/>
      <c r="C30" s="280"/>
      <c r="D30" s="280"/>
      <c r="E30" s="280"/>
    </row>
    <row r="31" spans="1:21" ht="15" customHeight="1" thickBot="1">
      <c r="A31" s="581">
        <v>30</v>
      </c>
      <c r="B31" s="281" t="s">
        <v>165</v>
      </c>
      <c r="C31" s="282">
        <f t="shared" ref="C31:M31" si="22">C15-C29</f>
        <v>0</v>
      </c>
      <c r="D31" s="282">
        <f t="shared" si="22"/>
        <v>0</v>
      </c>
      <c r="E31" s="282">
        <f t="shared" si="22"/>
        <v>0</v>
      </c>
      <c r="F31" s="282">
        <f>F15-F29</f>
        <v>0</v>
      </c>
      <c r="G31" s="282">
        <f t="shared" ref="G31:L31" si="23">G15-G29</f>
        <v>0</v>
      </c>
      <c r="H31" s="282">
        <f t="shared" si="23"/>
        <v>0</v>
      </c>
      <c r="I31" s="282">
        <f t="shared" si="23"/>
        <v>0</v>
      </c>
      <c r="J31" s="282">
        <f t="shared" si="23"/>
        <v>0</v>
      </c>
      <c r="K31" s="282">
        <f t="shared" si="23"/>
        <v>0</v>
      </c>
      <c r="L31" s="282">
        <f t="shared" si="23"/>
        <v>0</v>
      </c>
      <c r="M31" s="283">
        <f t="shared" si="22"/>
        <v>0</v>
      </c>
      <c r="N31" s="247"/>
      <c r="O31" s="260" t="s">
        <v>103</v>
      </c>
    </row>
    <row r="33" spans="2:15">
      <c r="B33" s="570" t="s">
        <v>159</v>
      </c>
      <c r="C33" s="570" t="s">
        <v>159</v>
      </c>
      <c r="D33" s="570" t="s">
        <v>159</v>
      </c>
      <c r="E33" s="570" t="s">
        <v>159</v>
      </c>
      <c r="F33" s="570" t="s">
        <v>159</v>
      </c>
      <c r="G33" s="570" t="s">
        <v>159</v>
      </c>
      <c r="H33" s="570" t="s">
        <v>159</v>
      </c>
      <c r="I33" s="570" t="s">
        <v>159</v>
      </c>
      <c r="J33" s="570" t="s">
        <v>159</v>
      </c>
      <c r="K33" s="570" t="s">
        <v>159</v>
      </c>
      <c r="L33" s="570" t="s">
        <v>159</v>
      </c>
      <c r="M33" s="570" t="s">
        <v>159</v>
      </c>
    </row>
    <row r="34" spans="2:15">
      <c r="B34"/>
      <c r="C34"/>
      <c r="D34"/>
      <c r="E34"/>
      <c r="F34"/>
      <c r="G34"/>
      <c r="H34"/>
      <c r="I34"/>
      <c r="J34"/>
      <c r="K34"/>
      <c r="L34"/>
      <c r="M34"/>
    </row>
    <row r="35" spans="2:15">
      <c r="B35" s="284" t="s">
        <v>111</v>
      </c>
      <c r="C35" s="285"/>
      <c r="D35" s="285"/>
      <c r="E35" s="285"/>
      <c r="F35" s="286"/>
      <c r="G35" s="286"/>
      <c r="H35" s="286"/>
      <c r="I35" s="286"/>
      <c r="J35" s="286"/>
      <c r="K35" s="286"/>
      <c r="L35" s="286"/>
      <c r="N35" s="616" t="s">
        <v>207</v>
      </c>
      <c r="O35" s="616"/>
    </row>
    <row r="36" spans="2:15">
      <c r="B36" s="287" t="s">
        <v>38</v>
      </c>
      <c r="C36" s="288">
        <f t="shared" ref="C36:L36" si="24">C21</f>
        <v>0</v>
      </c>
      <c r="D36" s="288">
        <f t="shared" si="24"/>
        <v>0</v>
      </c>
      <c r="E36" s="288">
        <f t="shared" si="24"/>
        <v>0</v>
      </c>
      <c r="F36" s="288">
        <f t="shared" si="24"/>
        <v>0</v>
      </c>
      <c r="G36" s="288">
        <f t="shared" si="24"/>
        <v>0</v>
      </c>
      <c r="H36" s="288">
        <f t="shared" si="24"/>
        <v>0</v>
      </c>
      <c r="I36" s="288">
        <f t="shared" si="24"/>
        <v>0</v>
      </c>
      <c r="J36" s="288">
        <f t="shared" si="24"/>
        <v>0</v>
      </c>
      <c r="K36" s="288">
        <f t="shared" si="24"/>
        <v>0</v>
      </c>
      <c r="L36" s="288">
        <f t="shared" si="24"/>
        <v>0</v>
      </c>
      <c r="N36" s="287" t="s">
        <v>92</v>
      </c>
      <c r="O36" s="287" t="s">
        <v>121</v>
      </c>
    </row>
    <row r="37" spans="2:15">
      <c r="B37" s="289">
        <v>0</v>
      </c>
      <c r="C37" s="476">
        <f>IF(AND(C$36&gt;$B37,C$36&lt;$B38),C$36*$N37+$O37,0)</f>
        <v>0</v>
      </c>
      <c r="D37" s="476">
        <f t="shared" ref="D37:L37" si="25">IF(AND(D$36&gt;$B37,D$36&lt;$B38),$O37,0)</f>
        <v>0</v>
      </c>
      <c r="E37" s="476">
        <f t="shared" si="25"/>
        <v>0</v>
      </c>
      <c r="F37" s="476">
        <f t="shared" si="25"/>
        <v>0</v>
      </c>
      <c r="G37" s="476">
        <f t="shared" si="25"/>
        <v>0</v>
      </c>
      <c r="H37" s="476">
        <f t="shared" si="25"/>
        <v>0</v>
      </c>
      <c r="I37" s="476">
        <f t="shared" si="25"/>
        <v>0</v>
      </c>
      <c r="J37" s="476">
        <f t="shared" si="25"/>
        <v>0</v>
      </c>
      <c r="K37" s="476">
        <f t="shared" si="25"/>
        <v>0</v>
      </c>
      <c r="L37" s="476">
        <f t="shared" si="25"/>
        <v>0</v>
      </c>
      <c r="M37" s="339"/>
      <c r="N37" s="457">
        <v>0</v>
      </c>
      <c r="O37" s="289">
        <v>54167</v>
      </c>
    </row>
    <row r="38" spans="2:15">
      <c r="B38" s="289">
        <v>135417</v>
      </c>
      <c r="C38" s="476">
        <f>IF(AND(C$36&gt;$B38,C$36&lt;$B39),C$36*$N38+$O38,0)</f>
        <v>0</v>
      </c>
      <c r="D38" s="476">
        <f t="shared" ref="D38:D42" si="26">IF(AND(D$36&gt;$B38,D$36&lt;$B39),D$36*$N38+$O38,0)</f>
        <v>0</v>
      </c>
      <c r="E38" s="476">
        <f t="shared" ref="E38:E42" si="27">IF(AND(E$36&gt;$B38,E$36&lt;$B39),E$36*$N38+$O38,0)</f>
        <v>0</v>
      </c>
      <c r="F38" s="476">
        <f t="shared" ref="F38:F42" si="28">IF(AND(F$36&gt;$B38,F$36&lt;$B39),F$36*$N38+$O38,0)</f>
        <v>0</v>
      </c>
      <c r="G38" s="476">
        <f t="shared" ref="G38:G42" si="29">IF(AND(G$36&gt;$B38,G$36&lt;$B39),G$36*$N38+$O38,0)</f>
        <v>0</v>
      </c>
      <c r="H38" s="476">
        <f t="shared" ref="H38:H42" si="30">IF(AND(H$36&gt;$B38,H$36&lt;$B39),H$36*$N38+$O38,0)</f>
        <v>0</v>
      </c>
      <c r="I38" s="476">
        <f t="shared" ref="I38:I42" si="31">IF(AND(I$36&gt;$B38,I$36&lt;$B39),I$36*$N38+$O38,0)</f>
        <v>0</v>
      </c>
      <c r="J38" s="476">
        <f t="shared" ref="J38:J42" si="32">IF(AND(J$36&gt;$B38,J$36&lt;$B39),J$36*$N38+$O38,0)</f>
        <v>0</v>
      </c>
      <c r="K38" s="476">
        <f t="shared" ref="K38:K42" si="33">IF(AND(K$36&gt;$B38,K$36&lt;$B39),K$36*$N38+$O38,0)</f>
        <v>0</v>
      </c>
      <c r="L38" s="476">
        <f t="shared" ref="L38:L42" si="34">IF(AND(L$36&gt;$B38,L$36&lt;$B39),L$36*$N38+$O38,0)</f>
        <v>0</v>
      </c>
      <c r="M38" s="339"/>
      <c r="N38" s="457">
        <v>0.4</v>
      </c>
      <c r="O38" s="289">
        <v>0</v>
      </c>
    </row>
    <row r="39" spans="2:15">
      <c r="B39" s="289">
        <v>150000</v>
      </c>
      <c r="C39" s="476">
        <f t="shared" ref="C39:C42" si="35">IF(AND(C$36&gt;$B39,C$36&lt;$B40),C$36*$N39+$O39,0)</f>
        <v>0</v>
      </c>
      <c r="D39" s="476">
        <f t="shared" si="26"/>
        <v>0</v>
      </c>
      <c r="E39" s="476">
        <f t="shared" si="27"/>
        <v>0</v>
      </c>
      <c r="F39" s="476">
        <f t="shared" si="28"/>
        <v>0</v>
      </c>
      <c r="G39" s="476">
        <f t="shared" si="29"/>
        <v>0</v>
      </c>
      <c r="H39" s="476">
        <f t="shared" si="30"/>
        <v>0</v>
      </c>
      <c r="I39" s="476">
        <f t="shared" si="31"/>
        <v>0</v>
      </c>
      <c r="J39" s="476">
        <f t="shared" si="32"/>
        <v>0</v>
      </c>
      <c r="K39" s="476">
        <f t="shared" si="33"/>
        <v>0</v>
      </c>
      <c r="L39" s="476">
        <f t="shared" si="34"/>
        <v>0</v>
      </c>
      <c r="M39" s="339"/>
      <c r="N39" s="457">
        <v>0.3</v>
      </c>
      <c r="O39" s="289">
        <v>15000</v>
      </c>
    </row>
    <row r="40" spans="2:15">
      <c r="B40" s="289">
        <v>300000</v>
      </c>
      <c r="C40" s="476">
        <f t="shared" si="35"/>
        <v>0</v>
      </c>
      <c r="D40" s="476">
        <f t="shared" si="26"/>
        <v>0</v>
      </c>
      <c r="E40" s="476">
        <f t="shared" si="27"/>
        <v>0</v>
      </c>
      <c r="F40" s="476">
        <f t="shared" si="28"/>
        <v>0</v>
      </c>
      <c r="G40" s="476">
        <f t="shared" si="29"/>
        <v>0</v>
      </c>
      <c r="H40" s="476">
        <f t="shared" si="30"/>
        <v>0</v>
      </c>
      <c r="I40" s="476">
        <f t="shared" si="31"/>
        <v>0</v>
      </c>
      <c r="J40" s="476">
        <f t="shared" si="32"/>
        <v>0</v>
      </c>
      <c r="K40" s="476">
        <f t="shared" si="33"/>
        <v>0</v>
      </c>
      <c r="L40" s="476">
        <f t="shared" si="34"/>
        <v>0</v>
      </c>
      <c r="M40" s="339"/>
      <c r="N40" s="457">
        <v>0.2</v>
      </c>
      <c r="O40" s="289">
        <v>45000</v>
      </c>
    </row>
    <row r="41" spans="2:15">
      <c r="B41" s="289">
        <v>550000</v>
      </c>
      <c r="C41" s="476">
        <f t="shared" si="35"/>
        <v>0</v>
      </c>
      <c r="D41" s="476">
        <f t="shared" si="26"/>
        <v>0</v>
      </c>
      <c r="E41" s="476">
        <f t="shared" si="27"/>
        <v>0</v>
      </c>
      <c r="F41" s="476">
        <f t="shared" si="28"/>
        <v>0</v>
      </c>
      <c r="G41" s="476">
        <f t="shared" si="29"/>
        <v>0</v>
      </c>
      <c r="H41" s="476">
        <f t="shared" si="30"/>
        <v>0</v>
      </c>
      <c r="I41" s="476">
        <f t="shared" si="31"/>
        <v>0</v>
      </c>
      <c r="J41" s="476">
        <f t="shared" si="32"/>
        <v>0</v>
      </c>
      <c r="K41" s="476">
        <f t="shared" si="33"/>
        <v>0</v>
      </c>
      <c r="L41" s="476">
        <f t="shared" si="34"/>
        <v>0</v>
      </c>
      <c r="M41" s="339"/>
      <c r="N41" s="457">
        <v>0.1</v>
      </c>
      <c r="O41" s="289">
        <v>100000</v>
      </c>
    </row>
    <row r="42" spans="2:15">
      <c r="B42" s="289">
        <v>833334</v>
      </c>
      <c r="C42" s="476">
        <f t="shared" si="35"/>
        <v>0</v>
      </c>
      <c r="D42" s="476">
        <f t="shared" si="26"/>
        <v>0</v>
      </c>
      <c r="E42" s="476">
        <f t="shared" si="27"/>
        <v>0</v>
      </c>
      <c r="F42" s="476">
        <f t="shared" si="28"/>
        <v>0</v>
      </c>
      <c r="G42" s="476">
        <f t="shared" si="29"/>
        <v>0</v>
      </c>
      <c r="H42" s="476">
        <f t="shared" si="30"/>
        <v>0</v>
      </c>
      <c r="I42" s="476">
        <f t="shared" si="31"/>
        <v>0</v>
      </c>
      <c r="J42" s="476">
        <f t="shared" si="32"/>
        <v>0</v>
      </c>
      <c r="K42" s="476">
        <f t="shared" si="33"/>
        <v>0</v>
      </c>
      <c r="L42" s="476">
        <f t="shared" si="34"/>
        <v>0</v>
      </c>
      <c r="M42" s="339"/>
      <c r="N42" s="457">
        <v>0.05</v>
      </c>
      <c r="O42" s="289">
        <v>141667</v>
      </c>
    </row>
    <row r="43" spans="2:15">
      <c r="B43" s="289">
        <v>1250000</v>
      </c>
      <c r="C43" s="476">
        <f>IF(C$36&gt;$B43,$O43,0)</f>
        <v>0</v>
      </c>
      <c r="D43" s="476">
        <f t="shared" ref="D43:L43" si="36">IF(D$36&gt;$B43,$O43,0)</f>
        <v>0</v>
      </c>
      <c r="E43" s="476">
        <f t="shared" si="36"/>
        <v>0</v>
      </c>
      <c r="F43" s="476">
        <f t="shared" si="36"/>
        <v>0</v>
      </c>
      <c r="G43" s="476">
        <f t="shared" si="36"/>
        <v>0</v>
      </c>
      <c r="H43" s="476">
        <f t="shared" si="36"/>
        <v>0</v>
      </c>
      <c r="I43" s="476">
        <f t="shared" si="36"/>
        <v>0</v>
      </c>
      <c r="J43" s="476">
        <f t="shared" si="36"/>
        <v>0</v>
      </c>
      <c r="K43" s="476">
        <f t="shared" si="36"/>
        <v>0</v>
      </c>
      <c r="L43" s="476">
        <f t="shared" si="36"/>
        <v>0</v>
      </c>
      <c r="M43" s="339"/>
      <c r="N43" s="457">
        <v>0</v>
      </c>
      <c r="O43" s="289">
        <v>204167</v>
      </c>
    </row>
    <row r="44" spans="2:15">
      <c r="B44" s="479" t="s">
        <v>39</v>
      </c>
      <c r="C44" s="480">
        <f>ROUNDUP(SUM(C37:C43),0)</f>
        <v>0</v>
      </c>
      <c r="D44" s="480">
        <f t="shared" ref="D44:L44" si="37">ROUNDUP(SUM(D37:D43),0)</f>
        <v>0</v>
      </c>
      <c r="E44" s="480">
        <f t="shared" si="37"/>
        <v>0</v>
      </c>
      <c r="F44" s="480">
        <f t="shared" si="37"/>
        <v>0</v>
      </c>
      <c r="G44" s="480">
        <f t="shared" si="37"/>
        <v>0</v>
      </c>
      <c r="H44" s="480">
        <f t="shared" si="37"/>
        <v>0</v>
      </c>
      <c r="I44" s="480">
        <f t="shared" si="37"/>
        <v>0</v>
      </c>
      <c r="J44" s="480">
        <f t="shared" si="37"/>
        <v>0</v>
      </c>
      <c r="K44" s="480">
        <f t="shared" si="37"/>
        <v>0</v>
      </c>
      <c r="L44" s="480">
        <f t="shared" si="37"/>
        <v>0</v>
      </c>
    </row>
    <row r="46" spans="2:15">
      <c r="B46" s="287" t="s">
        <v>127</v>
      </c>
      <c r="C46" s="288">
        <f t="shared" ref="C46:L46" si="38">C22+1</f>
        <v>1</v>
      </c>
      <c r="D46" s="288">
        <f t="shared" si="38"/>
        <v>1</v>
      </c>
      <c r="E46" s="288">
        <f t="shared" si="38"/>
        <v>1</v>
      </c>
      <c r="F46" s="288">
        <f t="shared" si="38"/>
        <v>1</v>
      </c>
      <c r="G46" s="288">
        <f t="shared" si="38"/>
        <v>1</v>
      </c>
      <c r="H46" s="288">
        <f t="shared" si="38"/>
        <v>1</v>
      </c>
      <c r="I46" s="288">
        <f t="shared" si="38"/>
        <v>1</v>
      </c>
      <c r="J46" s="288">
        <f t="shared" si="38"/>
        <v>1</v>
      </c>
      <c r="K46" s="288">
        <f t="shared" si="38"/>
        <v>1</v>
      </c>
      <c r="L46" s="288">
        <f t="shared" si="38"/>
        <v>1</v>
      </c>
      <c r="N46" s="249" t="s">
        <v>64</v>
      </c>
    </row>
    <row r="47" spans="2:15">
      <c r="B47" s="289">
        <v>31667</v>
      </c>
      <c r="C47" s="476">
        <f>C$46*$B47</f>
        <v>31667</v>
      </c>
      <c r="D47" s="476">
        <f t="shared" ref="D47:L47" si="39">D$46*$B47</f>
        <v>31667</v>
      </c>
      <c r="E47" s="476">
        <f t="shared" si="39"/>
        <v>31667</v>
      </c>
      <c r="F47" s="476">
        <f t="shared" si="39"/>
        <v>31667</v>
      </c>
      <c r="G47" s="476">
        <f t="shared" si="39"/>
        <v>31667</v>
      </c>
      <c r="H47" s="476">
        <f t="shared" si="39"/>
        <v>31667</v>
      </c>
      <c r="I47" s="476">
        <f t="shared" si="39"/>
        <v>31667</v>
      </c>
      <c r="J47" s="476">
        <f t="shared" si="39"/>
        <v>31667</v>
      </c>
      <c r="K47" s="476">
        <f t="shared" si="39"/>
        <v>31667</v>
      </c>
      <c r="L47" s="476">
        <f t="shared" si="39"/>
        <v>31667</v>
      </c>
    </row>
    <row r="48" spans="2:15">
      <c r="N48" s="417"/>
      <c r="O48" s="287" t="s">
        <v>283</v>
      </c>
    </row>
    <row r="49" spans="2:15">
      <c r="B49" s="287" t="s">
        <v>224</v>
      </c>
      <c r="C49" s="288">
        <f t="shared" ref="C49:E49" si="40">C36-C44-C47</f>
        <v>-31667</v>
      </c>
      <c r="D49" s="288">
        <f t="shared" si="40"/>
        <v>-31667</v>
      </c>
      <c r="E49" s="288">
        <f t="shared" si="40"/>
        <v>-31667</v>
      </c>
      <c r="F49" s="288">
        <f>F36-F44-F47</f>
        <v>-31667</v>
      </c>
      <c r="G49" s="288">
        <f t="shared" ref="G49:L49" si="41">G36-G44-G47</f>
        <v>-31667</v>
      </c>
      <c r="H49" s="288">
        <f t="shared" si="41"/>
        <v>-31667</v>
      </c>
      <c r="I49" s="288">
        <f t="shared" si="41"/>
        <v>-31667</v>
      </c>
      <c r="J49" s="288">
        <f t="shared" si="41"/>
        <v>-31667</v>
      </c>
      <c r="K49" s="288">
        <f t="shared" si="41"/>
        <v>-31667</v>
      </c>
      <c r="L49" s="288">
        <f t="shared" si="41"/>
        <v>-31667</v>
      </c>
      <c r="N49" s="287" t="s">
        <v>149</v>
      </c>
      <c r="O49" s="287" t="s">
        <v>37</v>
      </c>
    </row>
    <row r="50" spans="2:15">
      <c r="B50" s="289">
        <v>0</v>
      </c>
      <c r="C50" s="476">
        <f t="shared" ref="C50:L56" si="42">IF(C$49&gt;0,IF(C$49&gt;$B50,C$49*$N50-$O50,0),0)</f>
        <v>0</v>
      </c>
      <c r="D50" s="476">
        <f t="shared" si="42"/>
        <v>0</v>
      </c>
      <c r="E50" s="476">
        <f t="shared" si="42"/>
        <v>0</v>
      </c>
      <c r="F50" s="476">
        <f t="shared" si="42"/>
        <v>0</v>
      </c>
      <c r="G50" s="476">
        <f t="shared" si="42"/>
        <v>0</v>
      </c>
      <c r="H50" s="476">
        <f t="shared" si="42"/>
        <v>0</v>
      </c>
      <c r="I50" s="476">
        <f t="shared" si="42"/>
        <v>0</v>
      </c>
      <c r="J50" s="476">
        <f t="shared" si="42"/>
        <v>0</v>
      </c>
      <c r="K50" s="476">
        <f t="shared" si="42"/>
        <v>0</v>
      </c>
      <c r="L50" s="476">
        <f t="shared" si="42"/>
        <v>0</v>
      </c>
      <c r="N50" s="453">
        <f>年末調整計算!C40</f>
        <v>5.1049999999999998E-2</v>
      </c>
      <c r="O50" s="289"/>
    </row>
    <row r="51" spans="2:15">
      <c r="B51" s="289">
        <v>162501</v>
      </c>
      <c r="C51" s="476">
        <f t="shared" si="42"/>
        <v>0</v>
      </c>
      <c r="D51" s="476">
        <f t="shared" si="42"/>
        <v>0</v>
      </c>
      <c r="E51" s="476">
        <f t="shared" si="42"/>
        <v>0</v>
      </c>
      <c r="F51" s="476">
        <f t="shared" si="42"/>
        <v>0</v>
      </c>
      <c r="G51" s="476">
        <f t="shared" si="42"/>
        <v>0</v>
      </c>
      <c r="H51" s="476">
        <f t="shared" si="42"/>
        <v>0</v>
      </c>
      <c r="I51" s="476">
        <f t="shared" si="42"/>
        <v>0</v>
      </c>
      <c r="J51" s="476">
        <f t="shared" si="42"/>
        <v>0</v>
      </c>
      <c r="K51" s="476">
        <f t="shared" si="42"/>
        <v>0</v>
      </c>
      <c r="L51" s="476">
        <f t="shared" si="42"/>
        <v>0</v>
      </c>
      <c r="N51" s="453">
        <f>年末調整計算!C41</f>
        <v>0.1021</v>
      </c>
      <c r="O51" s="289">
        <v>8296</v>
      </c>
    </row>
    <row r="52" spans="2:15">
      <c r="B52" s="289">
        <v>275001</v>
      </c>
      <c r="C52" s="476">
        <f t="shared" si="42"/>
        <v>0</v>
      </c>
      <c r="D52" s="476">
        <f t="shared" si="42"/>
        <v>0</v>
      </c>
      <c r="E52" s="476">
        <f t="shared" si="42"/>
        <v>0</v>
      </c>
      <c r="F52" s="476">
        <f t="shared" si="42"/>
        <v>0</v>
      </c>
      <c r="G52" s="476">
        <f t="shared" si="42"/>
        <v>0</v>
      </c>
      <c r="H52" s="476">
        <f t="shared" si="42"/>
        <v>0</v>
      </c>
      <c r="I52" s="476">
        <f t="shared" si="42"/>
        <v>0</v>
      </c>
      <c r="J52" s="476">
        <f t="shared" si="42"/>
        <v>0</v>
      </c>
      <c r="K52" s="476">
        <f t="shared" si="42"/>
        <v>0</v>
      </c>
      <c r="L52" s="476">
        <f t="shared" si="42"/>
        <v>0</v>
      </c>
      <c r="N52" s="453">
        <f>年末調整計算!C42</f>
        <v>0.20419999999999999</v>
      </c>
      <c r="O52" s="289">
        <v>36374</v>
      </c>
    </row>
    <row r="53" spans="2:15">
      <c r="B53" s="289">
        <v>579167</v>
      </c>
      <c r="C53" s="476">
        <f t="shared" si="42"/>
        <v>0</v>
      </c>
      <c r="D53" s="476">
        <f t="shared" si="42"/>
        <v>0</v>
      </c>
      <c r="E53" s="476">
        <f t="shared" si="42"/>
        <v>0</v>
      </c>
      <c r="F53" s="476">
        <f t="shared" si="42"/>
        <v>0</v>
      </c>
      <c r="G53" s="476">
        <f t="shared" si="42"/>
        <v>0</v>
      </c>
      <c r="H53" s="476">
        <f t="shared" si="42"/>
        <v>0</v>
      </c>
      <c r="I53" s="476">
        <f t="shared" si="42"/>
        <v>0</v>
      </c>
      <c r="J53" s="476">
        <f t="shared" si="42"/>
        <v>0</v>
      </c>
      <c r="K53" s="476">
        <f t="shared" si="42"/>
        <v>0</v>
      </c>
      <c r="L53" s="476">
        <f t="shared" si="42"/>
        <v>0</v>
      </c>
      <c r="N53" s="453">
        <f>年末調整計算!C43</f>
        <v>0.23482999999999998</v>
      </c>
      <c r="O53" s="289">
        <v>54113</v>
      </c>
    </row>
    <row r="54" spans="2:15">
      <c r="B54" s="289">
        <v>750001</v>
      </c>
      <c r="C54" s="476">
        <f t="shared" si="42"/>
        <v>0</v>
      </c>
      <c r="D54" s="476">
        <f t="shared" si="42"/>
        <v>0</v>
      </c>
      <c r="E54" s="476">
        <f t="shared" si="42"/>
        <v>0</v>
      </c>
      <c r="F54" s="476">
        <f t="shared" si="42"/>
        <v>0</v>
      </c>
      <c r="G54" s="476">
        <f t="shared" si="42"/>
        <v>0</v>
      </c>
      <c r="H54" s="476">
        <f t="shared" si="42"/>
        <v>0</v>
      </c>
      <c r="I54" s="476">
        <f t="shared" si="42"/>
        <v>0</v>
      </c>
      <c r="J54" s="476">
        <f t="shared" si="42"/>
        <v>0</v>
      </c>
      <c r="K54" s="476">
        <f t="shared" si="42"/>
        <v>0</v>
      </c>
      <c r="L54" s="476">
        <f t="shared" si="42"/>
        <v>0</v>
      </c>
      <c r="N54" s="453">
        <f>年末調整計算!C44</f>
        <v>0.33693000000000001</v>
      </c>
      <c r="O54" s="289">
        <v>130688</v>
      </c>
    </row>
    <row r="55" spans="2:15">
      <c r="B55" s="289">
        <v>1500001</v>
      </c>
      <c r="C55" s="476">
        <f t="shared" si="42"/>
        <v>0</v>
      </c>
      <c r="D55" s="476">
        <f t="shared" si="42"/>
        <v>0</v>
      </c>
      <c r="E55" s="476">
        <f t="shared" si="42"/>
        <v>0</v>
      </c>
      <c r="F55" s="476">
        <f t="shared" si="42"/>
        <v>0</v>
      </c>
      <c r="G55" s="476">
        <f t="shared" si="42"/>
        <v>0</v>
      </c>
      <c r="H55" s="476">
        <f t="shared" si="42"/>
        <v>0</v>
      </c>
      <c r="I55" s="476">
        <f t="shared" si="42"/>
        <v>0</v>
      </c>
      <c r="J55" s="476">
        <f t="shared" si="42"/>
        <v>0</v>
      </c>
      <c r="K55" s="476">
        <f t="shared" si="42"/>
        <v>0</v>
      </c>
      <c r="L55" s="476">
        <f t="shared" si="42"/>
        <v>0</v>
      </c>
      <c r="N55" s="453">
        <f>40%*102.1%</f>
        <v>0.40839999999999999</v>
      </c>
      <c r="O55" s="289">
        <v>237893</v>
      </c>
    </row>
    <row r="56" spans="2:15">
      <c r="B56" s="289">
        <v>3333334</v>
      </c>
      <c r="C56" s="476">
        <f>IF(C$49&gt;0,IF(C$49&gt;$B56,C$49*$N56-$O56,0),0)</f>
        <v>0</v>
      </c>
      <c r="D56" s="476">
        <f t="shared" si="42"/>
        <v>0</v>
      </c>
      <c r="E56" s="476">
        <f t="shared" si="42"/>
        <v>0</v>
      </c>
      <c r="F56" s="476">
        <f t="shared" si="42"/>
        <v>0</v>
      </c>
      <c r="G56" s="476">
        <f t="shared" si="42"/>
        <v>0</v>
      </c>
      <c r="H56" s="476">
        <f t="shared" si="42"/>
        <v>0</v>
      </c>
      <c r="I56" s="476">
        <f t="shared" si="42"/>
        <v>0</v>
      </c>
      <c r="J56" s="476">
        <f t="shared" si="42"/>
        <v>0</v>
      </c>
      <c r="K56" s="476">
        <f t="shared" si="42"/>
        <v>0</v>
      </c>
      <c r="L56" s="476">
        <f t="shared" si="42"/>
        <v>0</v>
      </c>
      <c r="N56" s="453">
        <v>0.45945000000000003</v>
      </c>
      <c r="O56" s="289">
        <v>408061</v>
      </c>
    </row>
    <row r="57" spans="2:15">
      <c r="B57" s="479" t="s">
        <v>172</v>
      </c>
      <c r="C57" s="480">
        <f>ROUND(MAX(C50:C56),-1)</f>
        <v>0</v>
      </c>
      <c r="D57" s="480">
        <f t="shared" ref="D57:L57" si="43">ROUND(MAX(D50:D56),-1)</f>
        <v>0</v>
      </c>
      <c r="E57" s="480">
        <f t="shared" si="43"/>
        <v>0</v>
      </c>
      <c r="F57" s="480">
        <f t="shared" si="43"/>
        <v>0</v>
      </c>
      <c r="G57" s="480">
        <f t="shared" si="43"/>
        <v>0</v>
      </c>
      <c r="H57" s="480">
        <f t="shared" si="43"/>
        <v>0</v>
      </c>
      <c r="I57" s="480">
        <f t="shared" si="43"/>
        <v>0</v>
      </c>
      <c r="J57" s="480">
        <f t="shared" si="43"/>
        <v>0</v>
      </c>
      <c r="K57" s="480">
        <f t="shared" si="43"/>
        <v>0</v>
      </c>
      <c r="L57" s="480">
        <f t="shared" si="43"/>
        <v>0</v>
      </c>
      <c r="O57" s="277" t="str">
        <f>年末調整計算!E1</f>
        <v>2015.1改訂</v>
      </c>
    </row>
    <row r="58" spans="2:15">
      <c r="B58" s="290"/>
      <c r="C58" s="291"/>
      <c r="D58" s="291"/>
      <c r="E58" s="291"/>
      <c r="F58" s="291"/>
      <c r="G58" s="291"/>
      <c r="H58" s="291"/>
      <c r="I58" s="291"/>
      <c r="J58" s="291"/>
      <c r="K58" s="291"/>
      <c r="L58" s="291"/>
    </row>
    <row r="59" spans="2:15">
      <c r="B59" s="284" t="s">
        <v>139</v>
      </c>
      <c r="C59" s="285"/>
      <c r="D59" s="285"/>
      <c r="E59" s="285"/>
      <c r="F59" s="286"/>
      <c r="G59" s="286"/>
      <c r="H59" s="286"/>
      <c r="I59" s="286"/>
      <c r="J59" s="286"/>
      <c r="K59" s="286"/>
      <c r="L59" s="286"/>
    </row>
    <row r="60" spans="2:15">
      <c r="B60" s="287" t="s">
        <v>36</v>
      </c>
      <c r="C60" s="288">
        <f>IF(C77=2,1,0)*(C15-C4)</f>
        <v>0</v>
      </c>
      <c r="D60" s="288">
        <f t="shared" ref="D60:L60" si="44">IF(D77=2,1,0)*(D15-D4)</f>
        <v>0</v>
      </c>
      <c r="E60" s="288">
        <f t="shared" si="44"/>
        <v>0</v>
      </c>
      <c r="F60" s="288">
        <f t="shared" si="44"/>
        <v>0</v>
      </c>
      <c r="G60" s="288">
        <f t="shared" si="44"/>
        <v>0</v>
      </c>
      <c r="H60" s="288">
        <f t="shared" si="44"/>
        <v>0</v>
      </c>
      <c r="I60" s="288">
        <f t="shared" si="44"/>
        <v>0</v>
      </c>
      <c r="J60" s="288">
        <f t="shared" si="44"/>
        <v>0</v>
      </c>
      <c r="K60" s="288">
        <f t="shared" si="44"/>
        <v>0</v>
      </c>
      <c r="L60" s="288">
        <f t="shared" si="44"/>
        <v>0</v>
      </c>
      <c r="M60" s="279" t="s">
        <v>388</v>
      </c>
      <c r="N60" s="249" t="s">
        <v>261</v>
      </c>
    </row>
    <row r="61" spans="2:15">
      <c r="B61" s="479" t="s">
        <v>125</v>
      </c>
      <c r="C61" s="480">
        <f>C60*$M$61</f>
        <v>0</v>
      </c>
      <c r="D61" s="480">
        <f>D60*$M$61</f>
        <v>0</v>
      </c>
      <c r="E61" s="480">
        <f>E60*$M$61</f>
        <v>0</v>
      </c>
      <c r="F61" s="480">
        <f t="shared" ref="F61:L61" si="45">F60*$M$61</f>
        <v>0</v>
      </c>
      <c r="G61" s="480">
        <f t="shared" si="45"/>
        <v>0</v>
      </c>
      <c r="H61" s="480">
        <f t="shared" si="45"/>
        <v>0</v>
      </c>
      <c r="I61" s="480">
        <f t="shared" si="45"/>
        <v>0</v>
      </c>
      <c r="J61" s="480">
        <f t="shared" si="45"/>
        <v>0</v>
      </c>
      <c r="K61" s="480">
        <f t="shared" si="45"/>
        <v>0</v>
      </c>
      <c r="L61" s="480">
        <f t="shared" si="45"/>
        <v>0</v>
      </c>
      <c r="M61" s="552">
        <f>保険料額表!C4</f>
        <v>5.0000000000000001E-3</v>
      </c>
    </row>
    <row r="63" spans="2:15">
      <c r="B63" s="284" t="s">
        <v>277</v>
      </c>
      <c r="C63" s="285"/>
      <c r="D63" s="285"/>
      <c r="E63" s="285"/>
      <c r="F63" s="286"/>
      <c r="G63" s="286"/>
      <c r="H63" s="286"/>
      <c r="I63" s="286"/>
      <c r="J63" s="286"/>
      <c r="K63" s="286"/>
      <c r="L63" s="286"/>
      <c r="M63" s="292"/>
    </row>
    <row r="64" spans="2:15">
      <c r="B64" s="287" t="s">
        <v>232</v>
      </c>
      <c r="C64" s="490"/>
      <c r="D64" s="490"/>
      <c r="E64" s="490"/>
      <c r="F64" s="490"/>
      <c r="G64" s="490"/>
      <c r="H64" s="490"/>
      <c r="I64" s="490"/>
      <c r="J64" s="490"/>
      <c r="K64" s="490"/>
      <c r="L64" s="490"/>
      <c r="M64" s="249" t="s">
        <v>74</v>
      </c>
      <c r="N64" s="277" t="s">
        <v>289</v>
      </c>
    </row>
    <row r="65" spans="2:15">
      <c r="B65" s="477" t="s">
        <v>142</v>
      </c>
      <c r="C65" s="481">
        <f>VLOOKUP(C64,保険料額表!$E$6:$H$52,2)</f>
        <v>1</v>
      </c>
      <c r="D65" s="481">
        <f>VLOOKUP(D64,保険料額表!$E$6:$H$52,2)</f>
        <v>1</v>
      </c>
      <c r="E65" s="481">
        <f>VLOOKUP(E64,保険料額表!$E$6:$H$52,2)</f>
        <v>1</v>
      </c>
      <c r="F65" s="481">
        <f>VLOOKUP(F64,保険料額表!$E$6:$H$52,2)</f>
        <v>1</v>
      </c>
      <c r="G65" s="481">
        <f>VLOOKUP(G64,保険料額表!$E$6:$H$52,2)</f>
        <v>1</v>
      </c>
      <c r="H65" s="481">
        <f>VLOOKUP(H64,保険料額表!$E$6:$H$52,2)</f>
        <v>1</v>
      </c>
      <c r="I65" s="481">
        <f>VLOOKUP(I64,保険料額表!$E$6:$H$52,2)</f>
        <v>1</v>
      </c>
      <c r="J65" s="481">
        <f>VLOOKUP(J64,保険料額表!$E$6:$H$52,2)</f>
        <v>1</v>
      </c>
      <c r="K65" s="481">
        <f>VLOOKUP(K64,保険料額表!$E$6:$H$52,2)</f>
        <v>1</v>
      </c>
      <c r="L65" s="481">
        <f>VLOOKUP(L64,保険料額表!$E$6:$H$52,2)</f>
        <v>1</v>
      </c>
    </row>
    <row r="66" spans="2:15">
      <c r="B66" s="477" t="s">
        <v>119</v>
      </c>
      <c r="C66" s="482">
        <f t="shared" ref="C66:L66" ca="1" si="46">IF(C$1=VLOOKUP(C$1,従業者一覧表,1),VLOOKUP(C$1,従業者一覧表,8),0)</f>
        <v>44</v>
      </c>
      <c r="D66" s="482">
        <f t="shared" ca="1" si="46"/>
        <v>27</v>
      </c>
      <c r="E66" s="482">
        <f t="shared" ca="1" si="46"/>
        <v>35</v>
      </c>
      <c r="F66" s="482">
        <f t="shared" ca="1" si="46"/>
        <v>23</v>
      </c>
      <c r="G66" s="482">
        <f t="shared" ca="1" si="46"/>
        <v>19</v>
      </c>
      <c r="H66" s="482">
        <f t="shared" si="46"/>
        <v>0</v>
      </c>
      <c r="I66" s="482">
        <f t="shared" si="46"/>
        <v>0</v>
      </c>
      <c r="J66" s="482">
        <f t="shared" si="46"/>
        <v>0</v>
      </c>
      <c r="K66" s="482">
        <f t="shared" si="46"/>
        <v>0</v>
      </c>
      <c r="L66" s="482">
        <f t="shared" si="46"/>
        <v>0</v>
      </c>
      <c r="N66" s="608">
        <v>40</v>
      </c>
      <c r="O66" s="566" t="s">
        <v>155</v>
      </c>
    </row>
    <row r="67" spans="2:15">
      <c r="B67" s="477" t="s">
        <v>145</v>
      </c>
      <c r="C67" s="478">
        <f t="shared" ref="C67:L67" ca="1" si="47">IF(C66&gt;=$N$66,1,0)-IF(C66&lt;$N$67,0,1)</f>
        <v>1</v>
      </c>
      <c r="D67" s="478">
        <f t="shared" ca="1" si="47"/>
        <v>0</v>
      </c>
      <c r="E67" s="478">
        <f t="shared" ca="1" si="47"/>
        <v>0</v>
      </c>
      <c r="F67" s="478">
        <f t="shared" ca="1" si="47"/>
        <v>0</v>
      </c>
      <c r="G67" s="478">
        <f t="shared" ca="1" si="47"/>
        <v>0</v>
      </c>
      <c r="H67" s="478">
        <f t="shared" si="47"/>
        <v>0</v>
      </c>
      <c r="I67" s="478">
        <f t="shared" si="47"/>
        <v>0</v>
      </c>
      <c r="J67" s="478">
        <f t="shared" si="47"/>
        <v>0</v>
      </c>
      <c r="K67" s="478">
        <f t="shared" si="47"/>
        <v>0</v>
      </c>
      <c r="L67" s="478">
        <f t="shared" si="47"/>
        <v>0</v>
      </c>
      <c r="M67" s="293" t="s">
        <v>66</v>
      </c>
      <c r="N67" s="609">
        <v>65</v>
      </c>
      <c r="O67" s="565" t="s">
        <v>296</v>
      </c>
    </row>
    <row r="68" spans="2:15">
      <c r="B68" s="477" t="s">
        <v>24</v>
      </c>
      <c r="C68" s="478">
        <f>IF(C64&gt;0,IF(N68=1,ROUNDUP(VLOOKUP(C64,保険料額表!$E$6:$H$52,3+C67)-0.5,0),ROUND(VLOOKUP(C64,保険料額表!$E$6:$H$52,3+C67),0)),0)</f>
        <v>0</v>
      </c>
      <c r="D68" s="478">
        <f>IF(D64&gt;0,IF(O68=1,ROUNDUP(VLOOKUP(D64,保険料額表!$E$6:$H$52,3+D67)-0.5,0),ROUND(VLOOKUP(D64,保険料額表!$E$6:$H$52,3+D67),0)),0)</f>
        <v>0</v>
      </c>
      <c r="E68" s="478">
        <f>IF(E64&gt;0,IF(P68=1,ROUNDUP(VLOOKUP(E64,保険料額表!$E$6:$H$52,3+E67)-0.5,0),ROUND(VLOOKUP(E64,保険料額表!$E$6:$H$52,3+E67),0)),0)</f>
        <v>0</v>
      </c>
      <c r="F68" s="478">
        <f>IF(F64&gt;0,IF(Q68=1,ROUNDUP(VLOOKUP(F64,保険料額表!$E$6:$H$52,3+F67)-0.5,0),ROUND(VLOOKUP(F64,保険料額表!$E$6:$H$52,3+F67),0)),0)</f>
        <v>0</v>
      </c>
      <c r="G68" s="478">
        <f>IF(G64&gt;0,IF(R68=1,ROUNDUP(VLOOKUP(G64,保険料額表!$E$6:$H$52,3+G67)-0.5,0),ROUND(VLOOKUP(G64,保険料額表!$E$6:$H$52,3+G67),0)),0)</f>
        <v>0</v>
      </c>
      <c r="H68" s="478">
        <f>IF(H64&gt;0,IF(S68=1,ROUNDUP(VLOOKUP(H64,保険料額表!$E$6:$H$52,3+H67)-0.5,0),ROUND(VLOOKUP(H64,保険料額表!$E$6:$H$52,3+H67),0)),0)</f>
        <v>0</v>
      </c>
      <c r="I68" s="478">
        <f>IF(I64&gt;0,IF(T68=1,ROUNDUP(VLOOKUP(I64,保険料額表!$E$6:$H$52,3+I67)-0.5,0),ROUND(VLOOKUP(I64,保険料額表!$E$6:$H$52,3+I67),0)),0)</f>
        <v>0</v>
      </c>
      <c r="J68" s="478">
        <f>IF(J64&gt;0,IF(U68=1,ROUNDUP(VLOOKUP(J64,保険料額表!$E$6:$H$52,3+J67)-0.5,0),ROUND(VLOOKUP(J64,保険料額表!$E$6:$H$52,3+J67),0)),0)</f>
        <v>0</v>
      </c>
      <c r="K68" s="478">
        <f>IF(K64&gt;0,IF(V68=1,ROUNDUP(VLOOKUP(K64,保険料額表!$E$6:$H$52,3+K67)-0.5,0),ROUND(VLOOKUP(K64,保険料額表!$E$6:$H$52,3+K67),0)),0)</f>
        <v>0</v>
      </c>
      <c r="L68" s="478">
        <f>IF(L64&gt;0,IF(W68=1,ROUNDUP(VLOOKUP(L64,保険料額表!$E$6:$H$52,3+L67)-0.5,0),ROUND(VLOOKUP(L64,保険料額表!$E$6:$H$52,3+L67),0)),0)</f>
        <v>0</v>
      </c>
      <c r="M68" s="249" t="s">
        <v>427</v>
      </c>
      <c r="N68" s="608">
        <v>1</v>
      </c>
      <c r="O68" s="566" t="str">
        <f>IF(N68=1,"給与から差し引く","現金で集金")</f>
        <v>給与から差し引く</v>
      </c>
    </row>
    <row r="69" spans="2:15">
      <c r="B69" s="477" t="s">
        <v>164</v>
      </c>
      <c r="C69" s="478">
        <f>IF(C64&gt;0,VLOOKUP(C64,保険料額表!$E$6:$I$39,5),0)</f>
        <v>0</v>
      </c>
      <c r="D69" s="478">
        <f>IF(D64&gt;0,VLOOKUP(D64,保険料額表!$E$6:$I$39,5),0)</f>
        <v>0</v>
      </c>
      <c r="E69" s="478">
        <f>IF(E64&gt;0,VLOOKUP(E64,保険料額表!$E$6:$I$39,5),0)</f>
        <v>0</v>
      </c>
      <c r="F69" s="478">
        <f>IF(F64&gt;0,VLOOKUP(F64,保険料額表!$E$6:$I$39,5),0)</f>
        <v>0</v>
      </c>
      <c r="G69" s="478">
        <f>IF(G64&gt;0,VLOOKUP(G64,保険料額表!$E$6:$I$39,5),0)</f>
        <v>0</v>
      </c>
      <c r="H69" s="478">
        <f>IF(H64&gt;0,VLOOKUP(H64,保険料額表!$E$6:$I$39,5),0)</f>
        <v>0</v>
      </c>
      <c r="I69" s="478">
        <f>IF(I64&gt;0,VLOOKUP(I64,保険料額表!$E$6:$I$39,5),0)</f>
        <v>0</v>
      </c>
      <c r="J69" s="478">
        <f>IF(J64&gt;0,VLOOKUP(J64,保険料額表!$E$6:$I$39,5),0)</f>
        <v>0</v>
      </c>
      <c r="K69" s="478">
        <f>IF(K64&gt;0,VLOOKUP(K64,保険料額表!$E$6:$I$39,5),0)</f>
        <v>0</v>
      </c>
      <c r="L69" s="478">
        <f>IF(L64&gt;0,VLOOKUP(L64,保険料額表!$E$6:$I$39,5),0)</f>
        <v>0</v>
      </c>
    </row>
    <row r="70" spans="2:15">
      <c r="B70" s="294" t="str">
        <f>IF($M$71=$M$70,"先々月","先々々月")</f>
        <v>先々々月</v>
      </c>
      <c r="C70" s="554"/>
      <c r="D70" s="554"/>
      <c r="E70" s="554"/>
      <c r="F70" s="554"/>
      <c r="G70" s="554"/>
      <c r="H70" s="554"/>
      <c r="I70" s="554"/>
      <c r="J70" s="554"/>
      <c r="K70" s="554"/>
      <c r="L70" s="554"/>
      <c r="M70" s="249">
        <v>11</v>
      </c>
    </row>
    <row r="71" spans="2:15">
      <c r="B71" s="294" t="str">
        <f>IF($M$71=$M$70,"先月","先々月")</f>
        <v>先々月</v>
      </c>
      <c r="C71" s="554"/>
      <c r="D71" s="554"/>
      <c r="E71" s="554"/>
      <c r="F71" s="554"/>
      <c r="G71" s="554"/>
      <c r="H71" s="554"/>
      <c r="I71" s="554"/>
      <c r="J71" s="554"/>
      <c r="K71" s="554"/>
      <c r="L71" s="554"/>
      <c r="M71" s="249">
        <v>1</v>
      </c>
      <c r="O71" s="339"/>
    </row>
    <row r="72" spans="2:15">
      <c r="B72" s="294" t="str">
        <f>IF($M$71=$M$70,"今月","先月")</f>
        <v>先月</v>
      </c>
      <c r="C72" s="554"/>
      <c r="D72" s="554"/>
      <c r="E72" s="554"/>
      <c r="F72" s="554">
        <v>0</v>
      </c>
      <c r="G72" s="554">
        <v>0</v>
      </c>
      <c r="H72" s="554">
        <v>0</v>
      </c>
      <c r="I72" s="554">
        <v>0</v>
      </c>
      <c r="J72" s="554">
        <v>0</v>
      </c>
      <c r="K72" s="554">
        <v>0</v>
      </c>
      <c r="L72" s="554">
        <v>0</v>
      </c>
      <c r="M72" s="249">
        <v>7</v>
      </c>
      <c r="O72" s="280"/>
    </row>
    <row r="73" spans="2:15">
      <c r="B73" s="477" t="s">
        <v>17</v>
      </c>
      <c r="C73" s="478">
        <f t="shared" ref="C73:L73" si="48">IF(C70="",C13,IF($M$73=$M$72,AVERAGE(C70:C72),(C71+C72+C15)/3))</f>
        <v>0</v>
      </c>
      <c r="D73" s="478">
        <f t="shared" si="48"/>
        <v>0</v>
      </c>
      <c r="E73" s="478">
        <f t="shared" si="48"/>
        <v>0</v>
      </c>
      <c r="F73" s="478">
        <f t="shared" si="48"/>
        <v>0</v>
      </c>
      <c r="G73" s="478">
        <f t="shared" si="48"/>
        <v>0</v>
      </c>
      <c r="H73" s="478">
        <f t="shared" si="48"/>
        <v>0</v>
      </c>
      <c r="I73" s="478">
        <f t="shared" si="48"/>
        <v>0</v>
      </c>
      <c r="J73" s="478">
        <f t="shared" si="48"/>
        <v>0</v>
      </c>
      <c r="K73" s="478">
        <f t="shared" si="48"/>
        <v>0</v>
      </c>
      <c r="L73" s="478">
        <f t="shared" si="48"/>
        <v>0</v>
      </c>
      <c r="M73" s="249">
        <f ca="1">MONTH(NOW())</f>
        <v>9</v>
      </c>
    </row>
    <row r="74" spans="2:15">
      <c r="B74" s="477" t="s">
        <v>135</v>
      </c>
      <c r="C74" s="478">
        <f>VLOOKUP(C73/1000,保険料額表!$E$6:$H$52,2)</f>
        <v>1</v>
      </c>
      <c r="D74" s="478">
        <f>VLOOKUP(D73/1000,保険料額表!$E$6:$H$52,2)</f>
        <v>1</v>
      </c>
      <c r="E74" s="478">
        <f>VLOOKUP(E73/1000,保険料額表!$E$6:$H$52,2)</f>
        <v>1</v>
      </c>
      <c r="F74" s="478">
        <f>VLOOKUP(F73/1000,保険料額表!$E$6:$H$52,2)</f>
        <v>1</v>
      </c>
      <c r="G74" s="478">
        <f>VLOOKUP(G73/1000,保険料額表!$E$6:$H$52,2)</f>
        <v>1</v>
      </c>
      <c r="H74" s="478">
        <f>VLOOKUP(H73/1000,保険料額表!$E$6:$H$52,2)</f>
        <v>1</v>
      </c>
      <c r="I74" s="478">
        <f>VLOOKUP(I73/1000,保険料額表!$E$6:$H$52,2)</f>
        <v>1</v>
      </c>
      <c r="J74" s="478">
        <f>VLOOKUP(J73/1000,保険料額表!$E$6:$H$52,2)</f>
        <v>1</v>
      </c>
      <c r="K74" s="478">
        <f>VLOOKUP(K73/1000,保険料額表!$E$6:$H$52,2)</f>
        <v>1</v>
      </c>
      <c r="L74" s="478">
        <f>VLOOKUP(L73/1000,保険料額表!$E$6:$H$52,2)</f>
        <v>1</v>
      </c>
    </row>
    <row r="75" spans="2:15">
      <c r="C75" s="249" t="s">
        <v>390</v>
      </c>
    </row>
    <row r="76" spans="2:15" ht="16" customHeight="1">
      <c r="B76" s="279"/>
    </row>
    <row r="77" spans="2:15" ht="16" customHeight="1">
      <c r="B77" s="613" t="s">
        <v>433</v>
      </c>
      <c r="C77" s="18">
        <f t="shared" ref="C77:L77" si="49">VLOOKUP(C$1,従業者一覧表,2)</f>
        <v>2</v>
      </c>
      <c r="D77" s="18">
        <f t="shared" si="49"/>
        <v>2</v>
      </c>
      <c r="E77" s="18">
        <f t="shared" si="49"/>
        <v>2</v>
      </c>
      <c r="F77" s="18">
        <f t="shared" si="49"/>
        <v>2</v>
      </c>
      <c r="G77" s="18">
        <f t="shared" si="49"/>
        <v>2</v>
      </c>
      <c r="H77" s="18">
        <f t="shared" si="49"/>
        <v>2</v>
      </c>
      <c r="I77" s="18">
        <f t="shared" si="49"/>
        <v>2</v>
      </c>
      <c r="J77" s="18">
        <f t="shared" si="49"/>
        <v>2</v>
      </c>
      <c r="K77" s="18">
        <f t="shared" si="49"/>
        <v>2</v>
      </c>
      <c r="L77" s="18">
        <f t="shared" si="49"/>
        <v>2</v>
      </c>
    </row>
    <row r="78" spans="2:15" customFormat="1" ht="16" customHeight="1"/>
    <row r="79" spans="2:15" customFormat="1" ht="16" customHeight="1"/>
    <row r="80" spans="2:15" customFormat="1" ht="16" customHeight="1"/>
    <row r="81" customFormat="1" ht="16" customHeight="1"/>
    <row r="82" ht="16" customHeight="1"/>
  </sheetData>
  <mergeCells count="3">
    <mergeCell ref="N35:O35"/>
    <mergeCell ref="Q3:R3"/>
    <mergeCell ref="Q4:R6"/>
  </mergeCells>
  <phoneticPr fontId="9"/>
  <conditionalFormatting sqref="C74:F74">
    <cfRule type="expression" dxfId="15" priority="35" stopIfTrue="1">
      <formula>IF(ABS(C65-C74)&gt;1,1,0)</formula>
    </cfRule>
  </conditionalFormatting>
  <conditionalFormatting sqref="O8">
    <cfRule type="cellIs" dxfId="14" priority="38" stopIfTrue="1" operator="equal">
      <formula>"転記必要"</formula>
    </cfRule>
  </conditionalFormatting>
  <conditionalFormatting sqref="C17">
    <cfRule type="expression" dxfId="13" priority="31" stopIfTrue="1">
      <formula>IF(C67=1,1,0)</formula>
    </cfRule>
  </conditionalFormatting>
  <conditionalFormatting sqref="C18">
    <cfRule type="expression" dxfId="12" priority="32" stopIfTrue="1">
      <formula>IF(ABS(C74-C65)&gt;1,1,0)</formula>
    </cfRule>
  </conditionalFormatting>
  <conditionalFormatting sqref="G74:L74">
    <cfRule type="expression" dxfId="11" priority="5" stopIfTrue="1">
      <formula>IF(ABS(G65-G74)&gt;1,1,0)</formula>
    </cfRule>
  </conditionalFormatting>
  <conditionalFormatting sqref="C17:L17">
    <cfRule type="expression" dxfId="10" priority="1" stopIfTrue="1">
      <formula>IF(C67=1,1,0)</formula>
    </cfRule>
  </conditionalFormatting>
  <conditionalFormatting sqref="C18:L18">
    <cfRule type="expression" dxfId="9" priority="2" stopIfTrue="1">
      <formula>IF(ABS(C74-C65)&gt;1,1,0)</formula>
    </cfRule>
  </conditionalFormatting>
  <dataValidations count="1">
    <dataValidation type="list" allowBlank="1" showInputMessage="1" showErrorMessage="1" sqref="N68">
      <formula1>"0,1"</formula1>
    </dataValidation>
  </dataValidations>
  <pageMargins left="0.78740157480314965" right="0.39370078740157483" top="0.78740157480314965" bottom="0.78740157480314965" header="0.39370078740157483" footer="0.39370078740157483"/>
  <pageSetup paperSize="9" scale="87" orientation="landscape" verticalDpi="4294967292"/>
  <headerFooter alignWithMargins="0">
    <oddHeader>&amp;C&amp;A&amp;R&amp;D</oddHeader>
    <oddFooter>&amp;R&amp;F &amp;A&amp;C株式会社○○△△</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給与一覧">
                <anchor moveWithCells="1" sizeWithCells="1">
                  <from>
                    <xdr:col>14</xdr:col>
                    <xdr:colOff>139700</xdr:colOff>
                    <xdr:row>2</xdr:row>
                    <xdr:rowOff>152400</xdr:rowOff>
                  </from>
                  <to>
                    <xdr:col>14</xdr:col>
                    <xdr:colOff>1562100</xdr:colOff>
                    <xdr:row>3</xdr:row>
                    <xdr:rowOff>203200</xdr:rowOff>
                  </to>
                </anchor>
              </controlPr>
            </control>
          </mc:Choice>
          <mc:Fallback/>
        </mc:AlternateContent>
        <mc:AlternateContent xmlns:mc="http://schemas.openxmlformats.org/markup-compatibility/2006">
          <mc:Choice Requires="x14">
            <control shapeId="2050" r:id="rId4" name="Button 2">
              <controlPr defaultSize="0" print="0" autoFill="0" autoPict="0" macro="[0]!給与明細">
                <anchor moveWithCells="1" sizeWithCells="1">
                  <from>
                    <xdr:col>14</xdr:col>
                    <xdr:colOff>127000</xdr:colOff>
                    <xdr:row>4</xdr:row>
                    <xdr:rowOff>152400</xdr:rowOff>
                  </from>
                  <to>
                    <xdr:col>14</xdr:col>
                    <xdr:colOff>1549400</xdr:colOff>
                    <xdr:row>6</xdr:row>
                    <xdr:rowOff>25400</xdr:rowOff>
                  </to>
                </anchor>
              </controlPr>
            </control>
          </mc:Choice>
          <mc:Fallback/>
        </mc:AlternateContent>
        <mc:AlternateContent xmlns:mc="http://schemas.openxmlformats.org/markup-compatibility/2006">
          <mc:Choice Requires="x14">
            <control shapeId="2052" r:id="rId5" name="Button 4">
              <controlPr defaultSize="0" print="0" autoFill="0" autoPict="0" macro="[0]!給与転記">
                <anchor moveWithCells="1" sizeWithCells="1">
                  <from>
                    <xdr:col>14</xdr:col>
                    <xdr:colOff>152400</xdr:colOff>
                    <xdr:row>8</xdr:row>
                    <xdr:rowOff>165100</xdr:rowOff>
                  </from>
                  <to>
                    <xdr:col>14</xdr:col>
                    <xdr:colOff>1574800</xdr:colOff>
                    <xdr:row>9</xdr:row>
                    <xdr:rowOff>215900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yuMeisai" enableFormatConditionsCalculation="0"/>
  <dimension ref="A1:AN35"/>
  <sheetViews>
    <sheetView showZeros="0" zoomScale="90" workbookViewId="0">
      <selection activeCell="C10" sqref="C10"/>
    </sheetView>
  </sheetViews>
  <sheetFormatPr baseColWidth="12" defaultColWidth="8.83203125" defaultRowHeight="18" x14ac:dyDescent="0"/>
  <cols>
    <col min="1" max="1" width="5" style="1" customWidth="1"/>
    <col min="2" max="3" width="11.1640625" style="1" customWidth="1"/>
    <col min="4" max="5" width="1.6640625" style="1" customWidth="1"/>
    <col min="6" max="7" width="11.1640625" style="1" customWidth="1"/>
    <col min="8" max="9" width="1.6640625" style="1" customWidth="1"/>
    <col min="10" max="11" width="11.1640625" style="1" customWidth="1"/>
    <col min="12" max="13" width="1.6640625" style="1" customWidth="1"/>
    <col min="14" max="15" width="11.1640625" style="1" customWidth="1"/>
    <col min="16" max="17" width="1.6640625" style="1" customWidth="1"/>
    <col min="18" max="19" width="11.1640625" style="1" customWidth="1"/>
    <col min="20" max="21" width="1.6640625" style="1" customWidth="1"/>
    <col min="22" max="23" width="11.1640625" style="1" customWidth="1"/>
    <col min="24" max="25" width="1.6640625" style="1" customWidth="1"/>
    <col min="26" max="27" width="11.1640625" style="1" customWidth="1"/>
    <col min="28" max="29" width="1.6640625" style="1" customWidth="1"/>
    <col min="30" max="31" width="11.1640625" style="1" customWidth="1"/>
    <col min="32" max="33" width="1.6640625" style="1" customWidth="1"/>
    <col min="34" max="35" width="11.1640625" style="1" customWidth="1"/>
    <col min="36" max="37" width="1.6640625" style="1" customWidth="1"/>
    <col min="38" max="39" width="11.1640625" style="1" customWidth="1"/>
    <col min="40" max="40" width="1.6640625" style="1" customWidth="1"/>
    <col min="41" max="16384" width="8.83203125" style="1"/>
  </cols>
  <sheetData>
    <row r="1" spans="1:40">
      <c r="B1" s="571" t="s">
        <v>303</v>
      </c>
      <c r="C1" s="571">
        <v>1</v>
      </c>
      <c r="D1" s="572"/>
      <c r="E1" s="572"/>
      <c r="F1" s="571"/>
      <c r="G1" s="571">
        <v>2</v>
      </c>
      <c r="H1" s="572"/>
      <c r="I1" s="572"/>
      <c r="J1" s="571"/>
      <c r="K1" s="571">
        <v>3</v>
      </c>
      <c r="L1" s="572"/>
      <c r="M1" s="572"/>
      <c r="N1" s="572"/>
      <c r="O1" s="572">
        <v>4</v>
      </c>
      <c r="P1" s="572"/>
      <c r="Q1" s="572"/>
      <c r="R1" s="571"/>
      <c r="S1" s="571">
        <v>5</v>
      </c>
      <c r="T1" s="572"/>
      <c r="U1" s="572"/>
      <c r="V1" s="571"/>
      <c r="W1" s="571">
        <v>6</v>
      </c>
      <c r="X1" s="572"/>
      <c r="Y1" s="572"/>
      <c r="Z1" s="571"/>
      <c r="AA1" s="571">
        <v>7</v>
      </c>
      <c r="AB1" s="572"/>
      <c r="AC1" s="572"/>
      <c r="AD1" s="571"/>
      <c r="AE1" s="571">
        <v>8</v>
      </c>
      <c r="AF1" s="572"/>
      <c r="AG1" s="572"/>
      <c r="AH1" s="571"/>
      <c r="AI1" s="571">
        <v>9</v>
      </c>
      <c r="AJ1" s="572"/>
      <c r="AK1" s="572"/>
      <c r="AL1" s="571"/>
      <c r="AM1" s="571">
        <v>10</v>
      </c>
    </row>
    <row r="2" spans="1:40" s="462" customFormat="1" ht="19" thickBot="1">
      <c r="B2" s="461" t="s">
        <v>159</v>
      </c>
      <c r="C2" s="461" t="s">
        <v>159</v>
      </c>
      <c r="F2" s="461" t="s">
        <v>159</v>
      </c>
      <c r="G2" s="461" t="s">
        <v>159</v>
      </c>
      <c r="J2" s="461" t="s">
        <v>159</v>
      </c>
      <c r="K2" s="461" t="s">
        <v>159</v>
      </c>
      <c r="N2" s="461" t="s">
        <v>159</v>
      </c>
      <c r="O2" s="461" t="s">
        <v>159</v>
      </c>
      <c r="R2" s="461" t="s">
        <v>159</v>
      </c>
      <c r="S2" s="461" t="s">
        <v>159</v>
      </c>
      <c r="V2" s="461" t="s">
        <v>159</v>
      </c>
      <c r="W2" s="461" t="s">
        <v>159</v>
      </c>
      <c r="Z2" s="461" t="s">
        <v>159</v>
      </c>
      <c r="AA2" s="461" t="s">
        <v>159</v>
      </c>
      <c r="AD2" s="461" t="s">
        <v>159</v>
      </c>
      <c r="AE2" s="461" t="s">
        <v>159</v>
      </c>
      <c r="AH2" s="461" t="s">
        <v>159</v>
      </c>
      <c r="AI2" s="461" t="s">
        <v>159</v>
      </c>
      <c r="AL2" s="461" t="s">
        <v>159</v>
      </c>
      <c r="AM2" s="461" t="s">
        <v>159</v>
      </c>
    </row>
    <row r="3" spans="1:40" ht="20">
      <c r="B3" s="295">
        <f ca="1">給与計算!$B$2</f>
        <v>42253.370363194445</v>
      </c>
      <c r="C3" s="296"/>
      <c r="D3" s="45"/>
      <c r="F3" s="295">
        <f ca="1">給与計算!$B$2</f>
        <v>42253.370363194445</v>
      </c>
      <c r="G3" s="296"/>
      <c r="H3" s="45"/>
      <c r="J3" s="295">
        <f ca="1">給与計算!$B$2</f>
        <v>42253.370363194445</v>
      </c>
      <c r="K3" s="297"/>
      <c r="L3" s="45"/>
      <c r="N3" s="295">
        <f ca="1">給与計算!$B$2</f>
        <v>42253.370363194445</v>
      </c>
      <c r="O3" s="296"/>
      <c r="P3" s="45"/>
      <c r="R3" s="295">
        <f ca="1">給与計算!$B$2</f>
        <v>42253.370363194445</v>
      </c>
      <c r="S3" s="297"/>
      <c r="T3" s="45"/>
      <c r="V3" s="295">
        <f ca="1">給与計算!$B$2</f>
        <v>42253.370363194445</v>
      </c>
      <c r="W3" s="296"/>
      <c r="X3" s="45"/>
      <c r="Z3" s="295">
        <f ca="1">給与計算!$B$2</f>
        <v>42253.370363194445</v>
      </c>
      <c r="AA3" s="296"/>
      <c r="AB3" s="45"/>
      <c r="AD3" s="295">
        <f ca="1">給与計算!$B$2</f>
        <v>42253.370363194445</v>
      </c>
      <c r="AE3" s="296"/>
      <c r="AF3" s="45"/>
      <c r="AH3" s="295">
        <f ca="1">給与計算!$B$2</f>
        <v>42253.370363194445</v>
      </c>
      <c r="AI3" s="296"/>
      <c r="AJ3" s="45"/>
      <c r="AL3" s="295">
        <f ca="1">給与計算!$B$2</f>
        <v>42253.370363194445</v>
      </c>
      <c r="AM3" s="296"/>
      <c r="AN3" s="45"/>
    </row>
    <row r="4" spans="1:40" ht="21" thickBot="1">
      <c r="B4" s="298" t="s">
        <v>93</v>
      </c>
      <c r="C4" s="299"/>
      <c r="D4" s="45"/>
      <c r="F4" s="298" t="s">
        <v>93</v>
      </c>
      <c r="G4" s="299"/>
      <c r="H4" s="45"/>
      <c r="J4" s="298" t="s">
        <v>93</v>
      </c>
      <c r="K4" s="299"/>
      <c r="L4" s="45"/>
      <c r="N4" s="298" t="s">
        <v>93</v>
      </c>
      <c r="O4" s="299"/>
      <c r="P4" s="45"/>
      <c r="R4" s="298" t="s">
        <v>93</v>
      </c>
      <c r="S4" s="299"/>
      <c r="T4" s="45"/>
      <c r="V4" s="298" t="s">
        <v>93</v>
      </c>
      <c r="W4" s="299"/>
      <c r="X4" s="45"/>
      <c r="Z4" s="298" t="s">
        <v>93</v>
      </c>
      <c r="AA4" s="299"/>
      <c r="AB4" s="45"/>
      <c r="AD4" s="298" t="s">
        <v>93</v>
      </c>
      <c r="AE4" s="299"/>
      <c r="AF4" s="45"/>
      <c r="AH4" s="298" t="s">
        <v>93</v>
      </c>
      <c r="AI4" s="299"/>
      <c r="AJ4" s="45"/>
      <c r="AL4" s="298" t="s">
        <v>93</v>
      </c>
      <c r="AM4" s="299"/>
      <c r="AN4" s="45"/>
    </row>
    <row r="5" spans="1:40" ht="19" thickBot="1">
      <c r="B5" s="2"/>
      <c r="C5" s="2"/>
      <c r="D5" s="45"/>
      <c r="F5" s="2"/>
      <c r="G5" s="2"/>
      <c r="H5" s="45"/>
      <c r="J5" s="2"/>
      <c r="K5" s="2"/>
      <c r="L5" s="45"/>
      <c r="N5" s="2"/>
      <c r="O5" s="2"/>
      <c r="P5" s="45"/>
      <c r="R5" s="2"/>
      <c r="S5" s="2"/>
      <c r="T5" s="45"/>
      <c r="V5" s="2"/>
      <c r="W5" s="2"/>
      <c r="X5" s="45"/>
      <c r="Z5" s="2"/>
      <c r="AA5" s="2"/>
      <c r="AB5" s="45"/>
      <c r="AD5" s="2"/>
      <c r="AE5" s="2"/>
      <c r="AF5" s="45"/>
      <c r="AH5" s="2"/>
      <c r="AI5" s="2"/>
      <c r="AJ5" s="45"/>
      <c r="AL5" s="2"/>
      <c r="AM5" s="2"/>
      <c r="AN5" s="45"/>
    </row>
    <row r="6" spans="1:40" ht="20">
      <c r="A6" s="572">
        <v>1</v>
      </c>
      <c r="B6" s="300" t="str">
        <f>INDEX(給与計算!_xlnm.Print_Area,$A6,C1+1)</f>
        <v>A</v>
      </c>
      <c r="C6" s="301"/>
      <c r="D6" s="45"/>
      <c r="F6" s="300" t="str">
        <f>INDEX(給与計算!_xlnm.Print_Area,$A6,G1+1)</f>
        <v>B</v>
      </c>
      <c r="G6" s="301"/>
      <c r="H6" s="45"/>
      <c r="J6" s="300" t="str">
        <f>INDEX(給与計算!_xlnm.Print_Area,$A6,K1+1)</f>
        <v>C</v>
      </c>
      <c r="K6" s="301"/>
      <c r="L6" s="45"/>
      <c r="N6" s="300" t="str">
        <f>INDEX(給与計算!_xlnm.Print_Area,$A6,O1+1)</f>
        <v>D</v>
      </c>
      <c r="O6" s="301"/>
      <c r="P6" s="45"/>
      <c r="R6" s="300" t="str">
        <f>INDEX(給与計算!_xlnm.Print_Area,$A6,S1+1)</f>
        <v>E</v>
      </c>
      <c r="S6" s="301"/>
      <c r="T6" s="45"/>
      <c r="V6" s="300" t="str">
        <f>INDEX(給与計算!_xlnm.Print_Area,$A6,W1+1)</f>
        <v/>
      </c>
      <c r="W6" s="301"/>
      <c r="X6" s="45"/>
      <c r="Z6" s="300" t="str">
        <f>INDEX(給与計算!_xlnm.Print_Area,$A6,AA1+1)</f>
        <v/>
      </c>
      <c r="AA6" s="301"/>
      <c r="AB6" s="45"/>
      <c r="AD6" s="300" t="str">
        <f>INDEX(給与計算!_xlnm.Print_Area,$A6,AE1+1)</f>
        <v/>
      </c>
      <c r="AE6" s="301"/>
      <c r="AF6" s="45"/>
      <c r="AH6" s="300" t="str">
        <f>INDEX(給与計算!_xlnm.Print_Area,$A6,AI1+1)</f>
        <v/>
      </c>
      <c r="AI6" s="301"/>
      <c r="AJ6" s="45"/>
      <c r="AL6" s="300" t="str">
        <f>INDEX(給与計算!_xlnm.Print_Area,$A6,AM1+1)</f>
        <v/>
      </c>
      <c r="AM6" s="301"/>
      <c r="AN6" s="45"/>
    </row>
    <row r="7" spans="1:40">
      <c r="A7" s="572">
        <v>2</v>
      </c>
      <c r="B7" s="302" t="str">
        <f>INDEX(給与計算!_xlnm.Print_Area,$A7,1)</f>
        <v>基本給与</v>
      </c>
      <c r="C7" s="303">
        <f>INDEX(給与計算!_xlnm.Print_Area,$A7,C$1+1)</f>
        <v>0</v>
      </c>
      <c r="D7" s="45"/>
      <c r="F7" s="302" t="str">
        <f>INDEX(給与計算!_xlnm.Print_Area,$A7,1)</f>
        <v>基本給与</v>
      </c>
      <c r="G7" s="303">
        <f>INDEX(給与計算!_xlnm.Print_Area,$A7,G$1+1)</f>
        <v>0</v>
      </c>
      <c r="H7" s="45"/>
      <c r="J7" s="302" t="str">
        <f>INDEX(給与計算!_xlnm.Print_Area,$A7,1)</f>
        <v>基本給与</v>
      </c>
      <c r="K7" s="303">
        <f>INDEX(給与計算!_xlnm.Print_Area,$A7,K$1+1)</f>
        <v>0</v>
      </c>
      <c r="L7" s="45"/>
      <c r="N7" s="302" t="str">
        <f>INDEX(給与計算!_xlnm.Print_Area,$A7,1)</f>
        <v>基本給与</v>
      </c>
      <c r="O7" s="303">
        <f>INDEX(給与計算!_xlnm.Print_Area,$A7,O$1+1)</f>
        <v>0</v>
      </c>
      <c r="P7" s="45"/>
      <c r="R7" s="302" t="str">
        <f>INDEX(給与計算!_xlnm.Print_Area,$A7,1)</f>
        <v>基本給与</v>
      </c>
      <c r="S7" s="303">
        <f>INDEX(給与計算!_xlnm.Print_Area,$A7,S$1+1)</f>
        <v>0</v>
      </c>
      <c r="T7" s="45"/>
      <c r="V7" s="302" t="str">
        <f>INDEX(給与計算!_xlnm.Print_Area,$A7,1)</f>
        <v>基本給与</v>
      </c>
      <c r="W7" s="303">
        <f>INDEX(給与計算!_xlnm.Print_Area,$A7,W$1+1)</f>
        <v>0</v>
      </c>
      <c r="X7" s="45"/>
      <c r="Z7" s="302" t="str">
        <f>INDEX(給与計算!_xlnm.Print_Area,$A7,1)</f>
        <v>基本給与</v>
      </c>
      <c r="AA7" s="303">
        <f>INDEX(給与計算!_xlnm.Print_Area,$A7,AA$1+1)</f>
        <v>0</v>
      </c>
      <c r="AB7" s="45"/>
      <c r="AD7" s="302" t="str">
        <f>INDEX(給与計算!_xlnm.Print_Area,$A7,1)</f>
        <v>基本給与</v>
      </c>
      <c r="AE7" s="303">
        <f>INDEX(給与計算!_xlnm.Print_Area,$A7,AE$1+1)</f>
        <v>0</v>
      </c>
      <c r="AF7" s="45"/>
      <c r="AH7" s="302" t="str">
        <f>INDEX(給与計算!_xlnm.Print_Area,$A7,1)</f>
        <v>基本給与</v>
      </c>
      <c r="AI7" s="303">
        <f>INDEX(給与計算!_xlnm.Print_Area,$A7,AI$1+1)</f>
        <v>0</v>
      </c>
      <c r="AJ7" s="45"/>
      <c r="AL7" s="302" t="str">
        <f>INDEX(給与計算!_xlnm.Print_Area,$A7,1)</f>
        <v>基本給与</v>
      </c>
      <c r="AM7" s="303">
        <f>INDEX(給与計算!_xlnm.Print_Area,$A7,AM$1+1)</f>
        <v>0</v>
      </c>
      <c r="AN7" s="45"/>
    </row>
    <row r="8" spans="1:40">
      <c r="A8" s="572">
        <v>3</v>
      </c>
      <c r="B8" s="304" t="str">
        <f>INDEX(給与計算!_xlnm.Print_Area,$A8,1)</f>
        <v>役員報酬</v>
      </c>
      <c r="C8" s="305">
        <f>INDEX(給与計算!_xlnm.Print_Area,$A8,C$1+1)</f>
        <v>0</v>
      </c>
      <c r="D8" s="45"/>
      <c r="F8" s="304" t="str">
        <f>INDEX(給与計算!_xlnm.Print_Area,$A8,1)</f>
        <v>役員報酬</v>
      </c>
      <c r="G8" s="305">
        <f>INDEX(給与計算!_xlnm.Print_Area,$A8,G$1+1)</f>
        <v>0</v>
      </c>
      <c r="H8" s="45"/>
      <c r="J8" s="304" t="str">
        <f>INDEX(給与計算!_xlnm.Print_Area,$A8,1)</f>
        <v>役員報酬</v>
      </c>
      <c r="K8" s="305">
        <f>INDEX(給与計算!_xlnm.Print_Area,$A8,K$1+1)</f>
        <v>0</v>
      </c>
      <c r="L8" s="45"/>
      <c r="N8" s="304" t="str">
        <f>INDEX(給与計算!_xlnm.Print_Area,$A8,1)</f>
        <v>役員報酬</v>
      </c>
      <c r="O8" s="305">
        <f>INDEX(給与計算!_xlnm.Print_Area,$A8,O$1+1)</f>
        <v>0</v>
      </c>
      <c r="P8" s="45"/>
      <c r="R8" s="304" t="str">
        <f>INDEX(給与計算!_xlnm.Print_Area,$A8,1)</f>
        <v>役員報酬</v>
      </c>
      <c r="S8" s="305">
        <f>INDEX(給与計算!_xlnm.Print_Area,$A8,S$1+1)</f>
        <v>0</v>
      </c>
      <c r="T8" s="45"/>
      <c r="V8" s="304" t="str">
        <f>INDEX(給与計算!_xlnm.Print_Area,$A8,1)</f>
        <v>役員報酬</v>
      </c>
      <c r="W8" s="305">
        <f>INDEX(給与計算!_xlnm.Print_Area,$A8,W$1+1)</f>
        <v>0</v>
      </c>
      <c r="X8" s="45"/>
      <c r="Z8" s="304" t="str">
        <f>INDEX(給与計算!_xlnm.Print_Area,$A8,1)</f>
        <v>役員報酬</v>
      </c>
      <c r="AA8" s="305">
        <f>INDEX(給与計算!_xlnm.Print_Area,$A8,AA$1+1)</f>
        <v>0</v>
      </c>
      <c r="AB8" s="45"/>
      <c r="AD8" s="304" t="str">
        <f>INDEX(給与計算!_xlnm.Print_Area,$A8,1)</f>
        <v>役員報酬</v>
      </c>
      <c r="AE8" s="305">
        <f>INDEX(給与計算!_xlnm.Print_Area,$A8,AE$1+1)</f>
        <v>0</v>
      </c>
      <c r="AF8" s="45"/>
      <c r="AH8" s="304" t="str">
        <f>INDEX(給与計算!_xlnm.Print_Area,$A8,1)</f>
        <v>役員報酬</v>
      </c>
      <c r="AI8" s="305">
        <f>INDEX(給与計算!_xlnm.Print_Area,$A8,AI$1+1)</f>
        <v>0</v>
      </c>
      <c r="AJ8" s="45"/>
      <c r="AL8" s="304" t="str">
        <f>INDEX(給与計算!_xlnm.Print_Area,$A8,1)</f>
        <v>役員報酬</v>
      </c>
      <c r="AM8" s="305">
        <f>INDEX(給与計算!_xlnm.Print_Area,$A8,AM$1+1)</f>
        <v>0</v>
      </c>
      <c r="AN8" s="45"/>
    </row>
    <row r="9" spans="1:40">
      <c r="A9" s="572">
        <v>4</v>
      </c>
      <c r="B9" s="304" t="str">
        <f>INDEX(給与計算!_xlnm.Print_Area,$A9,1)</f>
        <v>家族手当</v>
      </c>
      <c r="C9" s="305">
        <f>INDEX(給与計算!_xlnm.Print_Area,$A9,C$1+1)</f>
        <v>0</v>
      </c>
      <c r="D9" s="45"/>
      <c r="F9" s="304" t="str">
        <f>INDEX(給与計算!_xlnm.Print_Area,$A9,1)</f>
        <v>家族手当</v>
      </c>
      <c r="G9" s="305">
        <f>INDEX(給与計算!_xlnm.Print_Area,$A9,G$1+1)</f>
        <v>0</v>
      </c>
      <c r="H9" s="45"/>
      <c r="J9" s="304" t="str">
        <f>INDEX(給与計算!_xlnm.Print_Area,$A9,1)</f>
        <v>家族手当</v>
      </c>
      <c r="K9" s="305">
        <f>INDEX(給与計算!_xlnm.Print_Area,$A9,K$1+1)</f>
        <v>0</v>
      </c>
      <c r="L9" s="45"/>
      <c r="N9" s="304" t="str">
        <f>INDEX(給与計算!_xlnm.Print_Area,$A9,1)</f>
        <v>家族手当</v>
      </c>
      <c r="O9" s="305">
        <f>INDEX(給与計算!_xlnm.Print_Area,$A9,O$1+1)</f>
        <v>0</v>
      </c>
      <c r="P9" s="45"/>
      <c r="R9" s="304" t="str">
        <f>INDEX(給与計算!_xlnm.Print_Area,$A9,1)</f>
        <v>家族手当</v>
      </c>
      <c r="S9" s="305">
        <f>INDEX(給与計算!_xlnm.Print_Area,$A9,S$1+1)</f>
        <v>0</v>
      </c>
      <c r="T9" s="45"/>
      <c r="V9" s="304" t="str">
        <f>INDEX(給与計算!_xlnm.Print_Area,$A9,1)</f>
        <v>家族手当</v>
      </c>
      <c r="W9" s="305">
        <f>INDEX(給与計算!_xlnm.Print_Area,$A9,W$1+1)</f>
        <v>0</v>
      </c>
      <c r="X9" s="45"/>
      <c r="Z9" s="304" t="str">
        <f>INDEX(給与計算!_xlnm.Print_Area,$A9,1)</f>
        <v>家族手当</v>
      </c>
      <c r="AA9" s="305">
        <f>INDEX(給与計算!_xlnm.Print_Area,$A9,AA$1+1)</f>
        <v>0</v>
      </c>
      <c r="AB9" s="45"/>
      <c r="AD9" s="304" t="str">
        <f>INDEX(給与計算!_xlnm.Print_Area,$A9,1)</f>
        <v>家族手当</v>
      </c>
      <c r="AE9" s="305">
        <f>INDEX(給与計算!_xlnm.Print_Area,$A9,AE$1+1)</f>
        <v>0</v>
      </c>
      <c r="AF9" s="45"/>
      <c r="AH9" s="304" t="str">
        <f>INDEX(給与計算!_xlnm.Print_Area,$A9,1)</f>
        <v>家族手当</v>
      </c>
      <c r="AI9" s="305">
        <f>INDEX(給与計算!_xlnm.Print_Area,$A9,AI$1+1)</f>
        <v>0</v>
      </c>
      <c r="AJ9" s="45"/>
      <c r="AL9" s="304" t="str">
        <f>INDEX(給与計算!_xlnm.Print_Area,$A9,1)</f>
        <v>家族手当</v>
      </c>
      <c r="AM9" s="305">
        <f>INDEX(給与計算!_xlnm.Print_Area,$A9,AM$1+1)</f>
        <v>0</v>
      </c>
      <c r="AN9" s="45"/>
    </row>
    <row r="10" spans="1:40">
      <c r="A10" s="572">
        <v>5</v>
      </c>
      <c r="B10" s="304" t="str">
        <f>INDEX(給与計算!_xlnm.Print_Area,$A10,1)</f>
        <v>住宅手当</v>
      </c>
      <c r="C10" s="305">
        <f>INDEX(給与計算!_xlnm.Print_Area,$A10,C$1+1)</f>
        <v>0</v>
      </c>
      <c r="D10" s="45"/>
      <c r="F10" s="304" t="str">
        <f>INDEX(給与計算!_xlnm.Print_Area,$A10,1)</f>
        <v>住宅手当</v>
      </c>
      <c r="G10" s="305">
        <f>INDEX(給与計算!_xlnm.Print_Area,$A10,G$1+1)</f>
        <v>0</v>
      </c>
      <c r="H10" s="45"/>
      <c r="J10" s="304" t="str">
        <f>INDEX(給与計算!_xlnm.Print_Area,$A10,1)</f>
        <v>住宅手当</v>
      </c>
      <c r="K10" s="305">
        <f>INDEX(給与計算!_xlnm.Print_Area,$A10,K$1+1)</f>
        <v>0</v>
      </c>
      <c r="L10" s="45"/>
      <c r="N10" s="304" t="str">
        <f>INDEX(給与計算!_xlnm.Print_Area,$A10,1)</f>
        <v>住宅手当</v>
      </c>
      <c r="O10" s="305">
        <f>INDEX(給与計算!_xlnm.Print_Area,$A10,O$1+1)</f>
        <v>0</v>
      </c>
      <c r="P10" s="45"/>
      <c r="R10" s="304" t="str">
        <f>INDEX(給与計算!_xlnm.Print_Area,$A10,1)</f>
        <v>住宅手当</v>
      </c>
      <c r="S10" s="305">
        <f>INDEX(給与計算!_xlnm.Print_Area,$A10,S$1+1)</f>
        <v>0</v>
      </c>
      <c r="T10" s="45"/>
      <c r="V10" s="304" t="str">
        <f>INDEX(給与計算!_xlnm.Print_Area,$A10,1)</f>
        <v>住宅手当</v>
      </c>
      <c r="W10" s="305">
        <f>INDEX(給与計算!_xlnm.Print_Area,$A10,W$1+1)</f>
        <v>0</v>
      </c>
      <c r="X10" s="45"/>
      <c r="Z10" s="304" t="str">
        <f>INDEX(給与計算!_xlnm.Print_Area,$A10,1)</f>
        <v>住宅手当</v>
      </c>
      <c r="AA10" s="305">
        <f>INDEX(給与計算!_xlnm.Print_Area,$A10,AA$1+1)</f>
        <v>0</v>
      </c>
      <c r="AB10" s="45"/>
      <c r="AD10" s="304" t="str">
        <f>INDEX(給与計算!_xlnm.Print_Area,$A10,1)</f>
        <v>住宅手当</v>
      </c>
      <c r="AE10" s="305">
        <f>INDEX(給与計算!_xlnm.Print_Area,$A10,AE$1+1)</f>
        <v>0</v>
      </c>
      <c r="AF10" s="45"/>
      <c r="AH10" s="304" t="str">
        <f>INDEX(給与計算!_xlnm.Print_Area,$A10,1)</f>
        <v>住宅手当</v>
      </c>
      <c r="AI10" s="305">
        <f>INDEX(給与計算!_xlnm.Print_Area,$A10,AI$1+1)</f>
        <v>0</v>
      </c>
      <c r="AJ10" s="45"/>
      <c r="AL10" s="304" t="str">
        <f>INDEX(給与計算!_xlnm.Print_Area,$A10,1)</f>
        <v>住宅手当</v>
      </c>
      <c r="AM10" s="305">
        <f>INDEX(給与計算!_xlnm.Print_Area,$A10,AM$1+1)</f>
        <v>0</v>
      </c>
      <c r="AN10" s="45"/>
    </row>
    <row r="11" spans="1:40">
      <c r="A11" s="572">
        <v>6</v>
      </c>
      <c r="B11" s="304" t="str">
        <f>INDEX(給与計算!_xlnm.Print_Area,$A11,1)</f>
        <v>資格手当</v>
      </c>
      <c r="C11" s="305">
        <f>INDEX(給与計算!_xlnm.Print_Area,$A11,C$1+1)</f>
        <v>0</v>
      </c>
      <c r="D11" s="45"/>
      <c r="F11" s="304" t="str">
        <f>INDEX(給与計算!_xlnm.Print_Area,$A11,1)</f>
        <v>資格手当</v>
      </c>
      <c r="G11" s="305">
        <f>INDEX(給与計算!_xlnm.Print_Area,$A11,G$1+1)</f>
        <v>0</v>
      </c>
      <c r="H11" s="45"/>
      <c r="J11" s="304" t="str">
        <f>INDEX(給与計算!_xlnm.Print_Area,$A11,1)</f>
        <v>資格手当</v>
      </c>
      <c r="K11" s="305">
        <f>INDEX(給与計算!_xlnm.Print_Area,$A11,K$1+1)</f>
        <v>0</v>
      </c>
      <c r="L11" s="45"/>
      <c r="N11" s="304" t="str">
        <f>INDEX(給与計算!_xlnm.Print_Area,$A11,1)</f>
        <v>資格手当</v>
      </c>
      <c r="O11" s="305">
        <f>INDEX(給与計算!_xlnm.Print_Area,$A11,O$1+1)</f>
        <v>0</v>
      </c>
      <c r="P11" s="45"/>
      <c r="R11" s="304" t="str">
        <f>INDEX(給与計算!_xlnm.Print_Area,$A11,1)</f>
        <v>資格手当</v>
      </c>
      <c r="S11" s="305">
        <f>INDEX(給与計算!_xlnm.Print_Area,$A11,S$1+1)</f>
        <v>0</v>
      </c>
      <c r="T11" s="45"/>
      <c r="V11" s="304" t="str">
        <f>INDEX(給与計算!_xlnm.Print_Area,$A11,1)</f>
        <v>資格手当</v>
      </c>
      <c r="W11" s="305">
        <f>INDEX(給与計算!_xlnm.Print_Area,$A11,W$1+1)</f>
        <v>0</v>
      </c>
      <c r="X11" s="45"/>
      <c r="Z11" s="304" t="str">
        <f>INDEX(給与計算!_xlnm.Print_Area,$A11,1)</f>
        <v>資格手当</v>
      </c>
      <c r="AA11" s="305">
        <f>INDEX(給与計算!_xlnm.Print_Area,$A11,AA$1+1)</f>
        <v>0</v>
      </c>
      <c r="AB11" s="45"/>
      <c r="AD11" s="304" t="str">
        <f>INDEX(給与計算!_xlnm.Print_Area,$A11,1)</f>
        <v>資格手当</v>
      </c>
      <c r="AE11" s="305">
        <f>INDEX(給与計算!_xlnm.Print_Area,$A11,AE$1+1)</f>
        <v>0</v>
      </c>
      <c r="AF11" s="45"/>
      <c r="AH11" s="304" t="str">
        <f>INDEX(給与計算!_xlnm.Print_Area,$A11,1)</f>
        <v>資格手当</v>
      </c>
      <c r="AI11" s="305">
        <f>INDEX(給与計算!_xlnm.Print_Area,$A11,AI$1+1)</f>
        <v>0</v>
      </c>
      <c r="AJ11" s="45"/>
      <c r="AL11" s="304" t="str">
        <f>INDEX(給与計算!_xlnm.Print_Area,$A11,1)</f>
        <v>資格手当</v>
      </c>
      <c r="AM11" s="305">
        <f>INDEX(給与計算!_xlnm.Print_Area,$A11,AM$1+1)</f>
        <v>0</v>
      </c>
      <c r="AN11" s="45"/>
    </row>
    <row r="12" spans="1:40">
      <c r="A12" s="572">
        <v>7</v>
      </c>
      <c r="B12" s="304" t="str">
        <f>INDEX(給与計算!_xlnm.Print_Area,$A12,1)</f>
        <v>技能手当</v>
      </c>
      <c r="C12" s="305">
        <f>INDEX(給与計算!_xlnm.Print_Area,$A12,C$1+1)</f>
        <v>0</v>
      </c>
      <c r="D12" s="45"/>
      <c r="F12" s="304" t="str">
        <f>INDEX(給与計算!_xlnm.Print_Area,$A12,1)</f>
        <v>技能手当</v>
      </c>
      <c r="G12" s="305">
        <f>INDEX(給与計算!_xlnm.Print_Area,$A12,G$1+1)</f>
        <v>0</v>
      </c>
      <c r="H12" s="45"/>
      <c r="J12" s="304" t="str">
        <f>INDEX(給与計算!_xlnm.Print_Area,$A12,1)</f>
        <v>技能手当</v>
      </c>
      <c r="K12" s="305">
        <f>INDEX(給与計算!_xlnm.Print_Area,$A12,K$1+1)</f>
        <v>0</v>
      </c>
      <c r="L12" s="45"/>
      <c r="N12" s="304" t="str">
        <f>INDEX(給与計算!_xlnm.Print_Area,$A12,1)</f>
        <v>技能手当</v>
      </c>
      <c r="O12" s="305">
        <f>INDEX(給与計算!_xlnm.Print_Area,$A12,O$1+1)</f>
        <v>0</v>
      </c>
      <c r="P12" s="45"/>
      <c r="R12" s="304" t="str">
        <f>INDEX(給与計算!_xlnm.Print_Area,$A12,1)</f>
        <v>技能手当</v>
      </c>
      <c r="S12" s="305">
        <f>INDEX(給与計算!_xlnm.Print_Area,$A12,S$1+1)</f>
        <v>0</v>
      </c>
      <c r="T12" s="45"/>
      <c r="V12" s="304" t="str">
        <f>INDEX(給与計算!_xlnm.Print_Area,$A12,1)</f>
        <v>技能手当</v>
      </c>
      <c r="W12" s="305">
        <f>INDEX(給与計算!_xlnm.Print_Area,$A12,W$1+1)</f>
        <v>0</v>
      </c>
      <c r="X12" s="45"/>
      <c r="Z12" s="304" t="str">
        <f>INDEX(給与計算!_xlnm.Print_Area,$A12,1)</f>
        <v>技能手当</v>
      </c>
      <c r="AA12" s="305">
        <f>INDEX(給与計算!_xlnm.Print_Area,$A12,AA$1+1)</f>
        <v>0</v>
      </c>
      <c r="AB12" s="45"/>
      <c r="AD12" s="304" t="str">
        <f>INDEX(給与計算!_xlnm.Print_Area,$A12,1)</f>
        <v>技能手当</v>
      </c>
      <c r="AE12" s="305">
        <f>INDEX(給与計算!_xlnm.Print_Area,$A12,AE$1+1)</f>
        <v>0</v>
      </c>
      <c r="AF12" s="45"/>
      <c r="AH12" s="304" t="str">
        <f>INDEX(給与計算!_xlnm.Print_Area,$A12,1)</f>
        <v>技能手当</v>
      </c>
      <c r="AI12" s="305">
        <f>INDEX(給与計算!_xlnm.Print_Area,$A12,AI$1+1)</f>
        <v>0</v>
      </c>
      <c r="AJ12" s="45"/>
      <c r="AL12" s="304" t="str">
        <f>INDEX(給与計算!_xlnm.Print_Area,$A12,1)</f>
        <v>技能手当</v>
      </c>
      <c r="AM12" s="305">
        <f>INDEX(給与計算!_xlnm.Print_Area,$A12,AM$1+1)</f>
        <v>0</v>
      </c>
      <c r="AN12" s="45"/>
    </row>
    <row r="13" spans="1:40">
      <c r="A13" s="572">
        <v>8</v>
      </c>
      <c r="B13" s="306" t="str">
        <f>INDEX(給与計算!_xlnm.Print_Area,$A13,1)</f>
        <v>職務手当</v>
      </c>
      <c r="C13" s="307">
        <f>INDEX(給与計算!_xlnm.Print_Area,$A13,C$1+1)</f>
        <v>0</v>
      </c>
      <c r="D13" s="45"/>
      <c r="F13" s="306" t="str">
        <f>INDEX(給与計算!_xlnm.Print_Area,$A13,1)</f>
        <v>職務手当</v>
      </c>
      <c r="G13" s="307">
        <f>INDEX(給与計算!_xlnm.Print_Area,$A13,G$1+1)</f>
        <v>0</v>
      </c>
      <c r="H13" s="45"/>
      <c r="J13" s="306" t="str">
        <f>INDEX(給与計算!_xlnm.Print_Area,$A13,1)</f>
        <v>職務手当</v>
      </c>
      <c r="K13" s="307">
        <f>INDEX(給与計算!_xlnm.Print_Area,$A13,K$1+1)</f>
        <v>0</v>
      </c>
      <c r="L13" s="45"/>
      <c r="N13" s="306" t="str">
        <f>INDEX(給与計算!_xlnm.Print_Area,$A13,1)</f>
        <v>職務手当</v>
      </c>
      <c r="O13" s="307">
        <f>INDEX(給与計算!_xlnm.Print_Area,$A13,O$1+1)</f>
        <v>0</v>
      </c>
      <c r="P13" s="45"/>
      <c r="R13" s="306" t="str">
        <f>INDEX(給与計算!_xlnm.Print_Area,$A13,1)</f>
        <v>職務手当</v>
      </c>
      <c r="S13" s="307">
        <f>INDEX(給与計算!_xlnm.Print_Area,$A13,S$1+1)</f>
        <v>0</v>
      </c>
      <c r="T13" s="45"/>
      <c r="V13" s="306" t="str">
        <f>INDEX(給与計算!_xlnm.Print_Area,$A13,1)</f>
        <v>職務手当</v>
      </c>
      <c r="W13" s="307">
        <f>INDEX(給与計算!_xlnm.Print_Area,$A13,W$1+1)</f>
        <v>0</v>
      </c>
      <c r="X13" s="45"/>
      <c r="Z13" s="306" t="str">
        <f>INDEX(給与計算!_xlnm.Print_Area,$A13,1)</f>
        <v>職務手当</v>
      </c>
      <c r="AA13" s="307">
        <f>INDEX(給与計算!_xlnm.Print_Area,$A13,AA$1+1)</f>
        <v>0</v>
      </c>
      <c r="AB13" s="45"/>
      <c r="AD13" s="306" t="str">
        <f>INDEX(給与計算!_xlnm.Print_Area,$A13,1)</f>
        <v>職務手当</v>
      </c>
      <c r="AE13" s="307">
        <f>INDEX(給与計算!_xlnm.Print_Area,$A13,AE$1+1)</f>
        <v>0</v>
      </c>
      <c r="AF13" s="45"/>
      <c r="AH13" s="306" t="str">
        <f>INDEX(給与計算!_xlnm.Print_Area,$A13,1)</f>
        <v>職務手当</v>
      </c>
      <c r="AI13" s="307">
        <f>INDEX(給与計算!_xlnm.Print_Area,$A13,AI$1+1)</f>
        <v>0</v>
      </c>
      <c r="AJ13" s="45"/>
      <c r="AL13" s="306" t="str">
        <f>INDEX(給与計算!_xlnm.Print_Area,$A13,1)</f>
        <v>職務手当</v>
      </c>
      <c r="AM13" s="307">
        <f>INDEX(給与計算!_xlnm.Print_Area,$A13,AM$1+1)</f>
        <v>0</v>
      </c>
      <c r="AN13" s="45"/>
    </row>
    <row r="14" spans="1:40">
      <c r="A14" s="572">
        <v>9</v>
      </c>
      <c r="B14" s="308" t="str">
        <f>INDEX(給与計算!_xlnm.Print_Area,$A14,1)</f>
        <v>小計</v>
      </c>
      <c r="C14" s="309">
        <f>INDEX(給与計算!_xlnm.Print_Area,$A14,C$1+1)</f>
        <v>0</v>
      </c>
      <c r="D14" s="45"/>
      <c r="F14" s="308" t="str">
        <f>INDEX(給与計算!_xlnm.Print_Area,$A14,1)</f>
        <v>小計</v>
      </c>
      <c r="G14" s="309">
        <f>INDEX(給与計算!_xlnm.Print_Area,$A14,G$1+1)</f>
        <v>0</v>
      </c>
      <c r="H14" s="45"/>
      <c r="J14" s="308" t="str">
        <f>INDEX(給与計算!_xlnm.Print_Area,$A14,1)</f>
        <v>小計</v>
      </c>
      <c r="K14" s="309">
        <f>INDEX(給与計算!_xlnm.Print_Area,$A14,K$1+1)</f>
        <v>0</v>
      </c>
      <c r="L14" s="45"/>
      <c r="N14" s="308" t="str">
        <f>INDEX(給与計算!_xlnm.Print_Area,$A14,1)</f>
        <v>小計</v>
      </c>
      <c r="O14" s="309">
        <f>INDEX(給与計算!_xlnm.Print_Area,$A14,O$1+1)</f>
        <v>0</v>
      </c>
      <c r="P14" s="45"/>
      <c r="R14" s="308" t="str">
        <f>INDEX(給与計算!_xlnm.Print_Area,$A14,1)</f>
        <v>小計</v>
      </c>
      <c r="S14" s="309">
        <f>INDEX(給与計算!_xlnm.Print_Area,$A14,S$1+1)</f>
        <v>0</v>
      </c>
      <c r="T14" s="45"/>
      <c r="V14" s="308" t="str">
        <f>INDEX(給与計算!_xlnm.Print_Area,$A14,1)</f>
        <v>小計</v>
      </c>
      <c r="W14" s="309">
        <f>INDEX(給与計算!_xlnm.Print_Area,$A14,W$1+1)</f>
        <v>0</v>
      </c>
      <c r="X14" s="45"/>
      <c r="Z14" s="308" t="str">
        <f>INDEX(給与計算!_xlnm.Print_Area,$A14,1)</f>
        <v>小計</v>
      </c>
      <c r="AA14" s="309">
        <f>INDEX(給与計算!_xlnm.Print_Area,$A14,AA$1+1)</f>
        <v>0</v>
      </c>
      <c r="AB14" s="45"/>
      <c r="AD14" s="308" t="str">
        <f>INDEX(給与計算!_xlnm.Print_Area,$A14,1)</f>
        <v>小計</v>
      </c>
      <c r="AE14" s="309">
        <f>INDEX(給与計算!_xlnm.Print_Area,$A14,AE$1+1)</f>
        <v>0</v>
      </c>
      <c r="AF14" s="45"/>
      <c r="AH14" s="308" t="str">
        <f>INDEX(給与計算!_xlnm.Print_Area,$A14,1)</f>
        <v>小計</v>
      </c>
      <c r="AI14" s="309">
        <f>INDEX(給与計算!_xlnm.Print_Area,$A14,AI$1+1)</f>
        <v>0</v>
      </c>
      <c r="AJ14" s="45"/>
      <c r="AL14" s="308" t="str">
        <f>INDEX(給与計算!_xlnm.Print_Area,$A14,1)</f>
        <v>小計</v>
      </c>
      <c r="AM14" s="309">
        <f>INDEX(給与計算!_xlnm.Print_Area,$A14,AM$1+1)</f>
        <v>0</v>
      </c>
      <c r="AN14" s="45"/>
    </row>
    <row r="15" spans="1:40">
      <c r="A15" s="572">
        <v>10</v>
      </c>
      <c r="B15" s="302" t="str">
        <f>INDEX(給与計算!_xlnm.Print_Area,$A15,1)</f>
        <v>能力手当</v>
      </c>
      <c r="C15" s="303">
        <f>INDEX(給与計算!_xlnm.Print_Area,$A15,C$1+1)</f>
        <v>0</v>
      </c>
      <c r="D15" s="45"/>
      <c r="F15" s="302" t="str">
        <f>INDEX(給与計算!_xlnm.Print_Area,$A15,1)</f>
        <v>能力手当</v>
      </c>
      <c r="G15" s="303">
        <f>INDEX(給与計算!_xlnm.Print_Area,$A15,G$1+1)</f>
        <v>0</v>
      </c>
      <c r="H15" s="45"/>
      <c r="J15" s="302" t="str">
        <f>INDEX(給与計算!_xlnm.Print_Area,$A15,1)</f>
        <v>能力手当</v>
      </c>
      <c r="K15" s="303">
        <f>INDEX(給与計算!_xlnm.Print_Area,$A15,K$1+1)</f>
        <v>0</v>
      </c>
      <c r="L15" s="45"/>
      <c r="N15" s="302" t="str">
        <f>INDEX(給与計算!_xlnm.Print_Area,$A15,1)</f>
        <v>能力手当</v>
      </c>
      <c r="O15" s="303">
        <f>INDEX(給与計算!_xlnm.Print_Area,$A15,O$1+1)</f>
        <v>0</v>
      </c>
      <c r="P15" s="45"/>
      <c r="R15" s="302" t="str">
        <f>INDEX(給与計算!_xlnm.Print_Area,$A15,1)</f>
        <v>能力手当</v>
      </c>
      <c r="S15" s="303">
        <f>INDEX(給与計算!_xlnm.Print_Area,$A15,S$1+1)</f>
        <v>0</v>
      </c>
      <c r="T15" s="45"/>
      <c r="V15" s="302" t="str">
        <f>INDEX(給与計算!_xlnm.Print_Area,$A15,1)</f>
        <v>能力手当</v>
      </c>
      <c r="W15" s="303">
        <f>INDEX(給与計算!_xlnm.Print_Area,$A15,W$1+1)</f>
        <v>0</v>
      </c>
      <c r="X15" s="45"/>
      <c r="Z15" s="302" t="str">
        <f>INDEX(給与計算!_xlnm.Print_Area,$A15,1)</f>
        <v>能力手当</v>
      </c>
      <c r="AA15" s="303">
        <f>INDEX(給与計算!_xlnm.Print_Area,$A15,AA$1+1)</f>
        <v>0</v>
      </c>
      <c r="AB15" s="45"/>
      <c r="AD15" s="302" t="str">
        <f>INDEX(給与計算!_xlnm.Print_Area,$A15,1)</f>
        <v>能力手当</v>
      </c>
      <c r="AE15" s="303">
        <f>INDEX(給与計算!_xlnm.Print_Area,$A15,AE$1+1)</f>
        <v>0</v>
      </c>
      <c r="AF15" s="45"/>
      <c r="AH15" s="302" t="str">
        <f>INDEX(給与計算!_xlnm.Print_Area,$A15,1)</f>
        <v>能力手当</v>
      </c>
      <c r="AI15" s="303">
        <f>INDEX(給与計算!_xlnm.Print_Area,$A15,AI$1+1)</f>
        <v>0</v>
      </c>
      <c r="AJ15" s="45"/>
      <c r="AL15" s="302" t="str">
        <f>INDEX(給与計算!_xlnm.Print_Area,$A15,1)</f>
        <v>能力手当</v>
      </c>
      <c r="AM15" s="303">
        <f>INDEX(給与計算!_xlnm.Print_Area,$A15,AM$1+1)</f>
        <v>0</v>
      </c>
      <c r="AN15" s="45"/>
    </row>
    <row r="16" spans="1:40">
      <c r="A16" s="572">
        <v>11</v>
      </c>
      <c r="B16" s="306" t="str">
        <f>INDEX(給与計算!_xlnm.Print_Area,$A16,1)</f>
        <v>皆勤手当</v>
      </c>
      <c r="C16" s="307">
        <f>INDEX(給与計算!_xlnm.Print_Area,$A16,C$1+1)</f>
        <v>0</v>
      </c>
      <c r="D16" s="45"/>
      <c r="F16" s="306" t="str">
        <f>INDEX(給与計算!_xlnm.Print_Area,$A16,1)</f>
        <v>皆勤手当</v>
      </c>
      <c r="G16" s="307">
        <f>INDEX(給与計算!_xlnm.Print_Area,$A16,G$1+1)</f>
        <v>0</v>
      </c>
      <c r="H16" s="45"/>
      <c r="J16" s="306" t="str">
        <f>INDEX(給与計算!_xlnm.Print_Area,$A16,1)</f>
        <v>皆勤手当</v>
      </c>
      <c r="K16" s="307">
        <f>INDEX(給与計算!_xlnm.Print_Area,$A16,K$1+1)</f>
        <v>0</v>
      </c>
      <c r="L16" s="45"/>
      <c r="N16" s="306" t="str">
        <f>INDEX(給与計算!_xlnm.Print_Area,$A16,1)</f>
        <v>皆勤手当</v>
      </c>
      <c r="O16" s="307">
        <f>INDEX(給与計算!_xlnm.Print_Area,$A16,O$1+1)</f>
        <v>0</v>
      </c>
      <c r="P16" s="45"/>
      <c r="R16" s="306" t="str">
        <f>INDEX(給与計算!_xlnm.Print_Area,$A16,1)</f>
        <v>皆勤手当</v>
      </c>
      <c r="S16" s="307">
        <f>INDEX(給与計算!_xlnm.Print_Area,$A16,S$1+1)</f>
        <v>0</v>
      </c>
      <c r="T16" s="45"/>
      <c r="V16" s="306" t="str">
        <f>INDEX(給与計算!_xlnm.Print_Area,$A16,1)</f>
        <v>皆勤手当</v>
      </c>
      <c r="W16" s="307">
        <f>INDEX(給与計算!_xlnm.Print_Area,$A16,W$1+1)</f>
        <v>0</v>
      </c>
      <c r="X16" s="45"/>
      <c r="Z16" s="306" t="str">
        <f>INDEX(給与計算!_xlnm.Print_Area,$A16,1)</f>
        <v>皆勤手当</v>
      </c>
      <c r="AA16" s="307">
        <f>INDEX(給与計算!_xlnm.Print_Area,$A16,AA$1+1)</f>
        <v>0</v>
      </c>
      <c r="AB16" s="45"/>
      <c r="AD16" s="306" t="str">
        <f>INDEX(給与計算!_xlnm.Print_Area,$A16,1)</f>
        <v>皆勤手当</v>
      </c>
      <c r="AE16" s="307">
        <f>INDEX(給与計算!_xlnm.Print_Area,$A16,AE$1+1)</f>
        <v>0</v>
      </c>
      <c r="AF16" s="45"/>
      <c r="AH16" s="306" t="str">
        <f>INDEX(給与計算!_xlnm.Print_Area,$A16,1)</f>
        <v>皆勤手当</v>
      </c>
      <c r="AI16" s="307">
        <f>INDEX(給与計算!_xlnm.Print_Area,$A16,AI$1+1)</f>
        <v>0</v>
      </c>
      <c r="AJ16" s="45"/>
      <c r="AL16" s="306" t="str">
        <f>INDEX(給与計算!_xlnm.Print_Area,$A16,1)</f>
        <v>皆勤手当</v>
      </c>
      <c r="AM16" s="307">
        <f>INDEX(給与計算!_xlnm.Print_Area,$A16,AM$1+1)</f>
        <v>0</v>
      </c>
      <c r="AN16" s="45"/>
    </row>
    <row r="17" spans="1:40">
      <c r="A17" s="572">
        <v>12</v>
      </c>
      <c r="B17" s="308" t="str">
        <f>INDEX(給与計算!_xlnm.Print_Area,$A17,1)</f>
        <v>合計</v>
      </c>
      <c r="C17" s="309">
        <f>INDEX(給与計算!_xlnm.Print_Area,$A17,C$1+1)</f>
        <v>0</v>
      </c>
      <c r="D17" s="45"/>
      <c r="F17" s="308" t="str">
        <f>INDEX(給与計算!_xlnm.Print_Area,$A17,1)</f>
        <v>合計</v>
      </c>
      <c r="G17" s="309">
        <f>INDEX(給与計算!_xlnm.Print_Area,$A17,G$1+1)</f>
        <v>0</v>
      </c>
      <c r="H17" s="45"/>
      <c r="J17" s="308" t="str">
        <f>INDEX(給与計算!_xlnm.Print_Area,$A17,1)</f>
        <v>合計</v>
      </c>
      <c r="K17" s="309">
        <f>INDEX(給与計算!_xlnm.Print_Area,$A17,K$1+1)</f>
        <v>0</v>
      </c>
      <c r="L17" s="45"/>
      <c r="N17" s="308" t="str">
        <f>INDEX(給与計算!_xlnm.Print_Area,$A17,1)</f>
        <v>合計</v>
      </c>
      <c r="O17" s="309">
        <f>INDEX(給与計算!_xlnm.Print_Area,$A17,O$1+1)</f>
        <v>0</v>
      </c>
      <c r="P17" s="45"/>
      <c r="R17" s="308" t="str">
        <f>INDEX(給与計算!_xlnm.Print_Area,$A17,1)</f>
        <v>合計</v>
      </c>
      <c r="S17" s="309">
        <f>INDEX(給与計算!_xlnm.Print_Area,$A17,S$1+1)</f>
        <v>0</v>
      </c>
      <c r="T17" s="45"/>
      <c r="V17" s="308" t="str">
        <f>INDEX(給与計算!_xlnm.Print_Area,$A17,1)</f>
        <v>合計</v>
      </c>
      <c r="W17" s="309">
        <f>INDEX(給与計算!_xlnm.Print_Area,$A17,W$1+1)</f>
        <v>0</v>
      </c>
      <c r="X17" s="45"/>
      <c r="Z17" s="308" t="str">
        <f>INDEX(給与計算!_xlnm.Print_Area,$A17,1)</f>
        <v>合計</v>
      </c>
      <c r="AA17" s="309">
        <f>INDEX(給与計算!_xlnm.Print_Area,$A17,AA$1+1)</f>
        <v>0</v>
      </c>
      <c r="AB17" s="45"/>
      <c r="AD17" s="308" t="str">
        <f>INDEX(給与計算!_xlnm.Print_Area,$A17,1)</f>
        <v>合計</v>
      </c>
      <c r="AE17" s="309">
        <f>INDEX(給与計算!_xlnm.Print_Area,$A17,AE$1+1)</f>
        <v>0</v>
      </c>
      <c r="AF17" s="45"/>
      <c r="AH17" s="308" t="str">
        <f>INDEX(給与計算!_xlnm.Print_Area,$A17,1)</f>
        <v>合計</v>
      </c>
      <c r="AI17" s="309">
        <f>INDEX(給与計算!_xlnm.Print_Area,$A17,AI$1+1)</f>
        <v>0</v>
      </c>
      <c r="AJ17" s="45"/>
      <c r="AL17" s="308" t="str">
        <f>INDEX(給与計算!_xlnm.Print_Area,$A17,1)</f>
        <v>合計</v>
      </c>
      <c r="AM17" s="309">
        <f>INDEX(給与計算!_xlnm.Print_Area,$A17,AM$1+1)</f>
        <v>0</v>
      </c>
      <c r="AN17" s="45"/>
    </row>
    <row r="18" spans="1:40">
      <c r="A18" s="572">
        <v>13</v>
      </c>
      <c r="B18" s="310" t="str">
        <f>INDEX(給与計算!_xlnm.Print_Area,$A18,1)</f>
        <v>交通費</v>
      </c>
      <c r="C18" s="311">
        <f>INDEX(給与計算!_xlnm.Print_Area,$A18,C$1+1)</f>
        <v>0</v>
      </c>
      <c r="D18" s="45"/>
      <c r="F18" s="310" t="str">
        <f>INDEX(給与計算!_xlnm.Print_Area,$A18,1)</f>
        <v>交通費</v>
      </c>
      <c r="G18" s="311">
        <f>INDEX(給与計算!_xlnm.Print_Area,$A18,G$1+1)</f>
        <v>0</v>
      </c>
      <c r="H18" s="45"/>
      <c r="J18" s="310" t="str">
        <f>INDEX(給与計算!_xlnm.Print_Area,$A18,1)</f>
        <v>交通費</v>
      </c>
      <c r="K18" s="311">
        <f>INDEX(給与計算!_xlnm.Print_Area,$A18,K$1+1)</f>
        <v>0</v>
      </c>
      <c r="L18" s="45"/>
      <c r="N18" s="310" t="str">
        <f>INDEX(給与計算!_xlnm.Print_Area,$A18,1)</f>
        <v>交通費</v>
      </c>
      <c r="O18" s="311">
        <f>INDEX(給与計算!_xlnm.Print_Area,$A18,O$1+1)</f>
        <v>0</v>
      </c>
      <c r="P18" s="45"/>
      <c r="R18" s="310" t="str">
        <f>INDEX(給与計算!_xlnm.Print_Area,$A18,1)</f>
        <v>交通費</v>
      </c>
      <c r="S18" s="311">
        <f>INDEX(給与計算!_xlnm.Print_Area,$A18,S$1+1)</f>
        <v>0</v>
      </c>
      <c r="T18" s="45"/>
      <c r="V18" s="310" t="str">
        <f>INDEX(給与計算!_xlnm.Print_Area,$A18,1)</f>
        <v>交通費</v>
      </c>
      <c r="W18" s="311">
        <f>INDEX(給与計算!_xlnm.Print_Area,$A18,W$1+1)</f>
        <v>0</v>
      </c>
      <c r="X18" s="45"/>
      <c r="Z18" s="310" t="str">
        <f>INDEX(給与計算!_xlnm.Print_Area,$A18,1)</f>
        <v>交通費</v>
      </c>
      <c r="AA18" s="311">
        <f>INDEX(給与計算!_xlnm.Print_Area,$A18,AA$1+1)</f>
        <v>0</v>
      </c>
      <c r="AB18" s="45"/>
      <c r="AD18" s="310" t="str">
        <f>INDEX(給与計算!_xlnm.Print_Area,$A18,1)</f>
        <v>交通費</v>
      </c>
      <c r="AE18" s="311">
        <f>INDEX(給与計算!_xlnm.Print_Area,$A18,AE$1+1)</f>
        <v>0</v>
      </c>
      <c r="AF18" s="45"/>
      <c r="AH18" s="310" t="str">
        <f>INDEX(給与計算!_xlnm.Print_Area,$A18,1)</f>
        <v>交通費</v>
      </c>
      <c r="AI18" s="311">
        <f>INDEX(給与計算!_xlnm.Print_Area,$A18,AI$1+1)</f>
        <v>0</v>
      </c>
      <c r="AJ18" s="45"/>
      <c r="AL18" s="310" t="str">
        <f>INDEX(給与計算!_xlnm.Print_Area,$A18,1)</f>
        <v>交通費</v>
      </c>
      <c r="AM18" s="311">
        <f>INDEX(給与計算!_xlnm.Print_Area,$A18,AM$1+1)</f>
        <v>0</v>
      </c>
      <c r="AN18" s="45"/>
    </row>
    <row r="19" spans="1:40" ht="19" thickBot="1">
      <c r="A19" s="572">
        <v>14</v>
      </c>
      <c r="B19" s="312" t="str">
        <f>INDEX(給与計算!_xlnm.Print_Area,$A19,1)</f>
        <v>総支給額</v>
      </c>
      <c r="C19" s="313">
        <f>INDEX(給与計算!_xlnm.Print_Area,$A19,C$1+1)</f>
        <v>0</v>
      </c>
      <c r="D19" s="45"/>
      <c r="F19" s="312" t="str">
        <f>INDEX(給与計算!_xlnm.Print_Area,$A19,1)</f>
        <v>総支給額</v>
      </c>
      <c r="G19" s="313">
        <f>INDEX(給与計算!_xlnm.Print_Area,$A19,G$1+1)</f>
        <v>0</v>
      </c>
      <c r="H19" s="45"/>
      <c r="J19" s="312" t="str">
        <f>INDEX(給与計算!_xlnm.Print_Area,$A19,1)</f>
        <v>総支給額</v>
      </c>
      <c r="K19" s="313">
        <f>INDEX(給与計算!_xlnm.Print_Area,$A19,K$1+1)</f>
        <v>0</v>
      </c>
      <c r="L19" s="45"/>
      <c r="N19" s="312" t="str">
        <f>INDEX(給与計算!_xlnm.Print_Area,$A19,1)</f>
        <v>総支給額</v>
      </c>
      <c r="O19" s="313">
        <f>INDEX(給与計算!_xlnm.Print_Area,$A19,O$1+1)</f>
        <v>0</v>
      </c>
      <c r="P19" s="45"/>
      <c r="R19" s="312" t="str">
        <f>INDEX(給与計算!_xlnm.Print_Area,$A19,1)</f>
        <v>総支給額</v>
      </c>
      <c r="S19" s="313">
        <f>INDEX(給与計算!_xlnm.Print_Area,$A19,S$1+1)</f>
        <v>0</v>
      </c>
      <c r="T19" s="45"/>
      <c r="V19" s="312" t="str">
        <f>INDEX(給与計算!_xlnm.Print_Area,$A19,1)</f>
        <v>総支給額</v>
      </c>
      <c r="W19" s="313">
        <f>INDEX(給与計算!_xlnm.Print_Area,$A19,W$1+1)</f>
        <v>0</v>
      </c>
      <c r="X19" s="45"/>
      <c r="Z19" s="312" t="str">
        <f>INDEX(給与計算!_xlnm.Print_Area,$A19,1)</f>
        <v>総支給額</v>
      </c>
      <c r="AA19" s="313">
        <f>INDEX(給与計算!_xlnm.Print_Area,$A19,AA$1+1)</f>
        <v>0</v>
      </c>
      <c r="AB19" s="45"/>
      <c r="AD19" s="312" t="str">
        <f>INDEX(給与計算!_xlnm.Print_Area,$A19,1)</f>
        <v>総支給額</v>
      </c>
      <c r="AE19" s="313">
        <f>INDEX(給与計算!_xlnm.Print_Area,$A19,AE$1+1)</f>
        <v>0</v>
      </c>
      <c r="AF19" s="45"/>
      <c r="AH19" s="312" t="str">
        <f>INDEX(給与計算!_xlnm.Print_Area,$A19,1)</f>
        <v>総支給額</v>
      </c>
      <c r="AI19" s="313">
        <f>INDEX(給与計算!_xlnm.Print_Area,$A19,AI$1+1)</f>
        <v>0</v>
      </c>
      <c r="AJ19" s="45"/>
      <c r="AL19" s="312" t="str">
        <f>INDEX(給与計算!_xlnm.Print_Area,$A19,1)</f>
        <v>総支給額</v>
      </c>
      <c r="AM19" s="313">
        <f>INDEX(給与計算!_xlnm.Print_Area,$A19,AM$1+1)</f>
        <v>0</v>
      </c>
      <c r="AN19" s="45"/>
    </row>
    <row r="20" spans="1:40" ht="9.75" customHeight="1" thickBot="1">
      <c r="A20" s="572"/>
      <c r="B20" s="2"/>
      <c r="C20" s="2"/>
      <c r="D20" s="45"/>
      <c r="F20" s="2"/>
      <c r="G20" s="2"/>
      <c r="H20" s="45"/>
      <c r="J20" s="2"/>
      <c r="K20" s="2"/>
      <c r="L20" s="45"/>
      <c r="N20" s="2"/>
      <c r="O20" s="2"/>
      <c r="P20" s="45"/>
      <c r="R20" s="2"/>
      <c r="S20" s="2"/>
      <c r="T20" s="45"/>
      <c r="V20" s="2"/>
      <c r="W20" s="2"/>
      <c r="X20" s="45"/>
      <c r="Z20" s="2"/>
      <c r="AA20" s="2"/>
      <c r="AB20" s="45"/>
      <c r="AD20" s="2"/>
      <c r="AE20" s="2"/>
      <c r="AF20" s="45"/>
      <c r="AH20" s="2"/>
      <c r="AI20" s="2"/>
      <c r="AJ20" s="45"/>
      <c r="AL20" s="2"/>
      <c r="AM20" s="2"/>
      <c r="AN20" s="45"/>
    </row>
    <row r="21" spans="1:40">
      <c r="A21" s="572">
        <v>16</v>
      </c>
      <c r="B21" s="314" t="str">
        <f>INDEX(給与計算!_xlnm.Print_Area,$A21,1)</f>
        <v>健康保険</v>
      </c>
      <c r="C21" s="315">
        <f>INDEX(給与計算!_xlnm.Print_Area,$A21,C$1+1)</f>
        <v>0</v>
      </c>
      <c r="D21" s="45"/>
      <c r="F21" s="314" t="str">
        <f>INDEX(給与計算!_xlnm.Print_Area,$A21,1)</f>
        <v>健康保険</v>
      </c>
      <c r="G21" s="315">
        <f>INDEX(給与計算!_xlnm.Print_Area,$A21,G$1+1)</f>
        <v>0</v>
      </c>
      <c r="H21" s="45"/>
      <c r="J21" s="314" t="str">
        <f>INDEX(給与計算!_xlnm.Print_Area,$A21,1)</f>
        <v>健康保険</v>
      </c>
      <c r="K21" s="315">
        <f>INDEX(給与計算!_xlnm.Print_Area,$A21,K$1+1)</f>
        <v>0</v>
      </c>
      <c r="L21" s="45"/>
      <c r="N21" s="314" t="str">
        <f>INDEX(給与計算!_xlnm.Print_Area,$A21,1)</f>
        <v>健康保険</v>
      </c>
      <c r="O21" s="315">
        <f>INDEX(給与計算!_xlnm.Print_Area,$A21,O$1+1)</f>
        <v>0</v>
      </c>
      <c r="P21" s="45"/>
      <c r="R21" s="314" t="str">
        <f>INDEX(給与計算!_xlnm.Print_Area,$A21,1)</f>
        <v>健康保険</v>
      </c>
      <c r="S21" s="315">
        <f>INDEX(給与計算!_xlnm.Print_Area,$A21,S$1+1)</f>
        <v>0</v>
      </c>
      <c r="T21" s="45"/>
      <c r="V21" s="314" t="str">
        <f>INDEX(給与計算!_xlnm.Print_Area,$A21,1)</f>
        <v>健康保険</v>
      </c>
      <c r="W21" s="315">
        <f>INDEX(給与計算!_xlnm.Print_Area,$A21,W$1+1)</f>
        <v>0</v>
      </c>
      <c r="X21" s="45"/>
      <c r="Z21" s="314" t="str">
        <f>INDEX(給与計算!_xlnm.Print_Area,$A21,1)</f>
        <v>健康保険</v>
      </c>
      <c r="AA21" s="315">
        <f>INDEX(給与計算!_xlnm.Print_Area,$A21,AA$1+1)</f>
        <v>0</v>
      </c>
      <c r="AB21" s="45"/>
      <c r="AD21" s="314" t="str">
        <f>INDEX(給与計算!_xlnm.Print_Area,$A21,1)</f>
        <v>健康保険</v>
      </c>
      <c r="AE21" s="315">
        <f>INDEX(給与計算!_xlnm.Print_Area,$A21,AE$1+1)</f>
        <v>0</v>
      </c>
      <c r="AF21" s="45"/>
      <c r="AH21" s="314" t="str">
        <f>INDEX(給与計算!_xlnm.Print_Area,$A21,1)</f>
        <v>健康保険</v>
      </c>
      <c r="AI21" s="315">
        <f>INDEX(給与計算!_xlnm.Print_Area,$A21,AI$1+1)</f>
        <v>0</v>
      </c>
      <c r="AJ21" s="45"/>
      <c r="AL21" s="314" t="str">
        <f>INDEX(給与計算!_xlnm.Print_Area,$A21,1)</f>
        <v>健康保険</v>
      </c>
      <c r="AM21" s="315">
        <f>INDEX(給与計算!_xlnm.Print_Area,$A21,AM$1+1)</f>
        <v>0</v>
      </c>
      <c r="AN21" s="45"/>
    </row>
    <row r="22" spans="1:40">
      <c r="A22" s="572">
        <v>17</v>
      </c>
      <c r="B22" s="304" t="str">
        <f>INDEX(給与計算!_xlnm.Print_Area,$A22,1)</f>
        <v>厚生年金</v>
      </c>
      <c r="C22" s="305">
        <f>INDEX(給与計算!_xlnm.Print_Area,$A22,C$1+1)</f>
        <v>0</v>
      </c>
      <c r="D22" s="45"/>
      <c r="F22" s="304" t="str">
        <f>INDEX(給与計算!_xlnm.Print_Area,$A22,1)</f>
        <v>厚生年金</v>
      </c>
      <c r="G22" s="305">
        <f>INDEX(給与計算!_xlnm.Print_Area,$A22,G$1+1)</f>
        <v>0</v>
      </c>
      <c r="H22" s="45"/>
      <c r="J22" s="304" t="str">
        <f>INDEX(給与計算!_xlnm.Print_Area,$A22,1)</f>
        <v>厚生年金</v>
      </c>
      <c r="K22" s="305">
        <f>INDEX(給与計算!_xlnm.Print_Area,$A22,K$1+1)</f>
        <v>0</v>
      </c>
      <c r="L22" s="45"/>
      <c r="N22" s="304" t="str">
        <f>INDEX(給与計算!_xlnm.Print_Area,$A22,1)</f>
        <v>厚生年金</v>
      </c>
      <c r="O22" s="305">
        <f>INDEX(給与計算!_xlnm.Print_Area,$A22,O$1+1)</f>
        <v>0</v>
      </c>
      <c r="P22" s="45"/>
      <c r="R22" s="304" t="str">
        <f>INDEX(給与計算!_xlnm.Print_Area,$A22,1)</f>
        <v>厚生年金</v>
      </c>
      <c r="S22" s="305">
        <f>INDEX(給与計算!_xlnm.Print_Area,$A22,S$1+1)</f>
        <v>0</v>
      </c>
      <c r="T22" s="45"/>
      <c r="V22" s="304" t="str">
        <f>INDEX(給与計算!_xlnm.Print_Area,$A22,1)</f>
        <v>厚生年金</v>
      </c>
      <c r="W22" s="305">
        <f>INDEX(給与計算!_xlnm.Print_Area,$A22,W$1+1)</f>
        <v>0</v>
      </c>
      <c r="X22" s="45"/>
      <c r="Z22" s="304" t="str">
        <f>INDEX(給与計算!_xlnm.Print_Area,$A22,1)</f>
        <v>厚生年金</v>
      </c>
      <c r="AA22" s="305">
        <f>INDEX(給与計算!_xlnm.Print_Area,$A22,AA$1+1)</f>
        <v>0</v>
      </c>
      <c r="AB22" s="45"/>
      <c r="AD22" s="304" t="str">
        <f>INDEX(給与計算!_xlnm.Print_Area,$A22,1)</f>
        <v>厚生年金</v>
      </c>
      <c r="AE22" s="305">
        <f>INDEX(給与計算!_xlnm.Print_Area,$A22,AE$1+1)</f>
        <v>0</v>
      </c>
      <c r="AF22" s="45"/>
      <c r="AH22" s="304" t="str">
        <f>INDEX(給与計算!_xlnm.Print_Area,$A22,1)</f>
        <v>厚生年金</v>
      </c>
      <c r="AI22" s="305">
        <f>INDEX(給与計算!_xlnm.Print_Area,$A22,AI$1+1)</f>
        <v>0</v>
      </c>
      <c r="AJ22" s="45"/>
      <c r="AL22" s="304" t="str">
        <f>INDEX(給与計算!_xlnm.Print_Area,$A22,1)</f>
        <v>厚生年金</v>
      </c>
      <c r="AM22" s="305">
        <f>INDEX(給与計算!_xlnm.Print_Area,$A22,AM$1+1)</f>
        <v>0</v>
      </c>
      <c r="AN22" s="45"/>
    </row>
    <row r="23" spans="1:40">
      <c r="A23" s="572">
        <v>18</v>
      </c>
      <c r="B23" s="306" t="str">
        <f>INDEX(給与計算!_xlnm.Print_Area,$A23,1)</f>
        <v>雇用保険</v>
      </c>
      <c r="C23" s="307">
        <f>INDEX(給与計算!_xlnm.Print_Area,$A23,C$1+1)</f>
        <v>0</v>
      </c>
      <c r="D23" s="45"/>
      <c r="F23" s="306" t="str">
        <f>INDEX(給与計算!_xlnm.Print_Area,$A23,1)</f>
        <v>雇用保険</v>
      </c>
      <c r="G23" s="307">
        <f>INDEX(給与計算!_xlnm.Print_Area,$A23,G$1+1)</f>
        <v>0</v>
      </c>
      <c r="H23" s="45"/>
      <c r="J23" s="306" t="str">
        <f>INDEX(給与計算!_xlnm.Print_Area,$A23,1)</f>
        <v>雇用保険</v>
      </c>
      <c r="K23" s="307">
        <f>INDEX(給与計算!_xlnm.Print_Area,$A23,K$1+1)</f>
        <v>0</v>
      </c>
      <c r="L23" s="45"/>
      <c r="N23" s="306" t="str">
        <f>INDEX(給与計算!_xlnm.Print_Area,$A23,1)</f>
        <v>雇用保険</v>
      </c>
      <c r="O23" s="307">
        <f>INDEX(給与計算!_xlnm.Print_Area,$A23,O$1+1)</f>
        <v>0</v>
      </c>
      <c r="P23" s="45"/>
      <c r="R23" s="306" t="str">
        <f>INDEX(給与計算!_xlnm.Print_Area,$A23,1)</f>
        <v>雇用保険</v>
      </c>
      <c r="S23" s="307">
        <f>INDEX(給与計算!_xlnm.Print_Area,$A23,S$1+1)</f>
        <v>0</v>
      </c>
      <c r="T23" s="45"/>
      <c r="V23" s="306" t="str">
        <f>INDEX(給与計算!_xlnm.Print_Area,$A23,1)</f>
        <v>雇用保険</v>
      </c>
      <c r="W23" s="307">
        <f>INDEX(給与計算!_xlnm.Print_Area,$A23,W$1+1)</f>
        <v>0</v>
      </c>
      <c r="X23" s="45"/>
      <c r="Z23" s="306" t="str">
        <f>INDEX(給与計算!_xlnm.Print_Area,$A23,1)</f>
        <v>雇用保険</v>
      </c>
      <c r="AA23" s="307">
        <f>INDEX(給与計算!_xlnm.Print_Area,$A23,AA$1+1)</f>
        <v>0</v>
      </c>
      <c r="AB23" s="45"/>
      <c r="AD23" s="306" t="str">
        <f>INDEX(給与計算!_xlnm.Print_Area,$A23,1)</f>
        <v>雇用保険</v>
      </c>
      <c r="AE23" s="307">
        <f>INDEX(給与計算!_xlnm.Print_Area,$A23,AE$1+1)</f>
        <v>0</v>
      </c>
      <c r="AF23" s="45"/>
      <c r="AH23" s="306" t="str">
        <f>INDEX(給与計算!_xlnm.Print_Area,$A23,1)</f>
        <v>雇用保険</v>
      </c>
      <c r="AI23" s="307">
        <f>INDEX(給与計算!_xlnm.Print_Area,$A23,AI$1+1)</f>
        <v>0</v>
      </c>
      <c r="AJ23" s="45"/>
      <c r="AL23" s="306" t="str">
        <f>INDEX(給与計算!_xlnm.Print_Area,$A23,1)</f>
        <v>雇用保険</v>
      </c>
      <c r="AM23" s="307">
        <f>INDEX(給与計算!_xlnm.Print_Area,$A23,AM$1+1)</f>
        <v>0</v>
      </c>
      <c r="AN23" s="45"/>
    </row>
    <row r="24" spans="1:40">
      <c r="A24" s="572">
        <v>19</v>
      </c>
      <c r="B24" s="308" t="str">
        <f>INDEX(給与計算!_xlnm.Print_Area,$A24,1)</f>
        <v>小計</v>
      </c>
      <c r="C24" s="309">
        <f>INDEX(給与計算!_xlnm.Print_Area,$A24,C$1+1)</f>
        <v>0</v>
      </c>
      <c r="D24" s="45"/>
      <c r="F24" s="308" t="str">
        <f>INDEX(給与計算!_xlnm.Print_Area,$A24,1)</f>
        <v>小計</v>
      </c>
      <c r="G24" s="309">
        <f>INDEX(給与計算!_xlnm.Print_Area,$A24,G$1+1)</f>
        <v>0</v>
      </c>
      <c r="H24" s="45"/>
      <c r="J24" s="308" t="str">
        <f>INDEX(給与計算!_xlnm.Print_Area,$A24,1)</f>
        <v>小計</v>
      </c>
      <c r="K24" s="309">
        <f>INDEX(給与計算!_xlnm.Print_Area,$A24,K$1+1)</f>
        <v>0</v>
      </c>
      <c r="L24" s="45"/>
      <c r="N24" s="308" t="str">
        <f>INDEX(給与計算!_xlnm.Print_Area,$A24,1)</f>
        <v>小計</v>
      </c>
      <c r="O24" s="309">
        <f>INDEX(給与計算!_xlnm.Print_Area,$A24,O$1+1)</f>
        <v>0</v>
      </c>
      <c r="P24" s="45"/>
      <c r="R24" s="308" t="str">
        <f>INDEX(給与計算!_xlnm.Print_Area,$A24,1)</f>
        <v>小計</v>
      </c>
      <c r="S24" s="309">
        <f>INDEX(給与計算!_xlnm.Print_Area,$A24,S$1+1)</f>
        <v>0</v>
      </c>
      <c r="T24" s="45"/>
      <c r="V24" s="308" t="str">
        <f>INDEX(給与計算!_xlnm.Print_Area,$A24,1)</f>
        <v>小計</v>
      </c>
      <c r="W24" s="309">
        <f>INDEX(給与計算!_xlnm.Print_Area,$A24,W$1+1)</f>
        <v>0</v>
      </c>
      <c r="X24" s="45"/>
      <c r="Z24" s="308" t="str">
        <f>INDEX(給与計算!_xlnm.Print_Area,$A24,1)</f>
        <v>小計</v>
      </c>
      <c r="AA24" s="309">
        <f>INDEX(給与計算!_xlnm.Print_Area,$A24,AA$1+1)</f>
        <v>0</v>
      </c>
      <c r="AB24" s="45"/>
      <c r="AD24" s="308" t="str">
        <f>INDEX(給与計算!_xlnm.Print_Area,$A24,1)</f>
        <v>小計</v>
      </c>
      <c r="AE24" s="309">
        <f>INDEX(給与計算!_xlnm.Print_Area,$A24,AE$1+1)</f>
        <v>0</v>
      </c>
      <c r="AF24" s="45"/>
      <c r="AH24" s="308" t="str">
        <f>INDEX(給与計算!_xlnm.Print_Area,$A24,1)</f>
        <v>小計</v>
      </c>
      <c r="AI24" s="309">
        <f>INDEX(給与計算!_xlnm.Print_Area,$A24,AI$1+1)</f>
        <v>0</v>
      </c>
      <c r="AJ24" s="45"/>
      <c r="AL24" s="308" t="str">
        <f>INDEX(給与計算!_xlnm.Print_Area,$A24,1)</f>
        <v>小計</v>
      </c>
      <c r="AM24" s="309">
        <f>INDEX(給与計算!_xlnm.Print_Area,$A24,AM$1+1)</f>
        <v>0</v>
      </c>
      <c r="AN24" s="45"/>
    </row>
    <row r="25" spans="1:40">
      <c r="A25" s="572">
        <v>22</v>
      </c>
      <c r="B25" s="304" t="str">
        <f>INDEX(給与計算!_xlnm.Print_Area,$A25,1)</f>
        <v>源泉所得税</v>
      </c>
      <c r="C25" s="303">
        <f>INDEX(給与計算!_xlnm.Print_Area,$A25,C$1+1)</f>
        <v>0</v>
      </c>
      <c r="D25" s="45"/>
      <c r="F25" s="304" t="str">
        <f>INDEX(給与計算!_xlnm.Print_Area,$A25,1)</f>
        <v>源泉所得税</v>
      </c>
      <c r="G25" s="303">
        <f>INDEX(給与計算!_xlnm.Print_Area,$A25,G$1+1)</f>
        <v>0</v>
      </c>
      <c r="H25" s="45"/>
      <c r="J25" s="304" t="str">
        <f>INDEX(給与計算!_xlnm.Print_Area,$A25,1)</f>
        <v>源泉所得税</v>
      </c>
      <c r="K25" s="303">
        <f>INDEX(給与計算!_xlnm.Print_Area,$A25,K$1+1)</f>
        <v>0</v>
      </c>
      <c r="L25" s="45"/>
      <c r="N25" s="304" t="str">
        <f>INDEX(給与計算!_xlnm.Print_Area,$A25,1)</f>
        <v>源泉所得税</v>
      </c>
      <c r="O25" s="303">
        <f>INDEX(給与計算!_xlnm.Print_Area,$A25,O$1+1)</f>
        <v>0</v>
      </c>
      <c r="P25" s="45"/>
      <c r="R25" s="304" t="str">
        <f>INDEX(給与計算!_xlnm.Print_Area,$A25,1)</f>
        <v>源泉所得税</v>
      </c>
      <c r="S25" s="303">
        <f>INDEX(給与計算!_xlnm.Print_Area,$A25,S$1+1)</f>
        <v>0</v>
      </c>
      <c r="T25" s="45"/>
      <c r="V25" s="304" t="str">
        <f>INDEX(給与計算!_xlnm.Print_Area,$A25,1)</f>
        <v>源泉所得税</v>
      </c>
      <c r="W25" s="303">
        <f>INDEX(給与計算!_xlnm.Print_Area,$A25,W$1+1)</f>
        <v>0</v>
      </c>
      <c r="X25" s="45"/>
      <c r="Z25" s="304" t="str">
        <f>INDEX(給与計算!_xlnm.Print_Area,$A25,1)</f>
        <v>源泉所得税</v>
      </c>
      <c r="AA25" s="303">
        <f>INDEX(給与計算!_xlnm.Print_Area,$A25,AA$1+1)</f>
        <v>0</v>
      </c>
      <c r="AB25" s="45"/>
      <c r="AD25" s="304" t="str">
        <f>INDEX(給与計算!_xlnm.Print_Area,$A25,1)</f>
        <v>源泉所得税</v>
      </c>
      <c r="AE25" s="303">
        <f>INDEX(給与計算!_xlnm.Print_Area,$A25,AE$1+1)</f>
        <v>0</v>
      </c>
      <c r="AF25" s="45"/>
      <c r="AH25" s="304" t="str">
        <f>INDEX(給与計算!_xlnm.Print_Area,$A25,1)</f>
        <v>源泉所得税</v>
      </c>
      <c r="AI25" s="303">
        <f>INDEX(給与計算!_xlnm.Print_Area,$A25,AI$1+1)</f>
        <v>0</v>
      </c>
      <c r="AJ25" s="45"/>
      <c r="AL25" s="304" t="str">
        <f>INDEX(給与計算!_xlnm.Print_Area,$A25,1)</f>
        <v>源泉所得税</v>
      </c>
      <c r="AM25" s="303">
        <f>INDEX(給与計算!_xlnm.Print_Area,$A25,AM$1+1)</f>
        <v>0</v>
      </c>
      <c r="AN25" s="45"/>
    </row>
    <row r="26" spans="1:40">
      <c r="A26" s="572">
        <v>23</v>
      </c>
      <c r="B26" s="304" t="str">
        <f>INDEX(給与計算!_xlnm.Print_Area,$A26,1)</f>
        <v>年末調整</v>
      </c>
      <c r="C26" s="305">
        <f>INDEX(給与計算!_xlnm.Print_Area,$A26,C$1+1)</f>
        <v>0</v>
      </c>
      <c r="D26" s="45"/>
      <c r="F26" s="304" t="str">
        <f>INDEX(給与計算!_xlnm.Print_Area,$A26,1)</f>
        <v>年末調整</v>
      </c>
      <c r="G26" s="305">
        <f>INDEX(給与計算!_xlnm.Print_Area,$A26,G$1+1)</f>
        <v>0</v>
      </c>
      <c r="H26" s="45"/>
      <c r="J26" s="304" t="str">
        <f>INDEX(給与計算!_xlnm.Print_Area,$A26,1)</f>
        <v>年末調整</v>
      </c>
      <c r="K26" s="305">
        <f>INDEX(給与計算!_xlnm.Print_Area,$A26,K$1+1)</f>
        <v>0</v>
      </c>
      <c r="L26" s="45"/>
      <c r="N26" s="304" t="str">
        <f>INDEX(給与計算!_xlnm.Print_Area,$A26,1)</f>
        <v>年末調整</v>
      </c>
      <c r="O26" s="305">
        <f>INDEX(給与計算!_xlnm.Print_Area,$A26,O$1+1)</f>
        <v>0</v>
      </c>
      <c r="P26" s="45"/>
      <c r="R26" s="304" t="str">
        <f>INDEX(給与計算!_xlnm.Print_Area,$A26,1)</f>
        <v>年末調整</v>
      </c>
      <c r="S26" s="305">
        <f>INDEX(給与計算!_xlnm.Print_Area,$A26,S$1+1)</f>
        <v>0</v>
      </c>
      <c r="T26" s="45"/>
      <c r="V26" s="304" t="str">
        <f>INDEX(給与計算!_xlnm.Print_Area,$A26,1)</f>
        <v>年末調整</v>
      </c>
      <c r="W26" s="305">
        <f>INDEX(給与計算!_xlnm.Print_Area,$A26,W$1+1)</f>
        <v>0</v>
      </c>
      <c r="X26" s="45"/>
      <c r="Z26" s="304" t="str">
        <f>INDEX(給与計算!_xlnm.Print_Area,$A26,1)</f>
        <v>年末調整</v>
      </c>
      <c r="AA26" s="305">
        <f>INDEX(給与計算!_xlnm.Print_Area,$A26,AA$1+1)</f>
        <v>0</v>
      </c>
      <c r="AB26" s="45"/>
      <c r="AD26" s="304" t="str">
        <f>INDEX(給与計算!_xlnm.Print_Area,$A26,1)</f>
        <v>年末調整</v>
      </c>
      <c r="AE26" s="305">
        <f>INDEX(給与計算!_xlnm.Print_Area,$A26,AE$1+1)</f>
        <v>0</v>
      </c>
      <c r="AF26" s="45"/>
      <c r="AH26" s="304" t="str">
        <f>INDEX(給与計算!_xlnm.Print_Area,$A26,1)</f>
        <v>年末調整</v>
      </c>
      <c r="AI26" s="305">
        <f>INDEX(給与計算!_xlnm.Print_Area,$A26,AI$1+1)</f>
        <v>0</v>
      </c>
      <c r="AJ26" s="45"/>
      <c r="AL26" s="304" t="str">
        <f>INDEX(給与計算!_xlnm.Print_Area,$A26,1)</f>
        <v>年末調整</v>
      </c>
      <c r="AM26" s="305">
        <f>INDEX(給与計算!_xlnm.Print_Area,$A26,AM$1+1)</f>
        <v>0</v>
      </c>
      <c r="AN26" s="45"/>
    </row>
    <row r="27" spans="1:40">
      <c r="A27" s="572">
        <v>24</v>
      </c>
      <c r="B27" s="304" t="str">
        <f>INDEX(給与計算!_xlnm.Print_Area,$A27,1)</f>
        <v>住民税</v>
      </c>
      <c r="C27" s="305">
        <f>INDEX(給与計算!_xlnm.Print_Area,$A27,C$1+1)</f>
        <v>0</v>
      </c>
      <c r="D27" s="45"/>
      <c r="F27" s="304" t="str">
        <f>INDEX(給与計算!_xlnm.Print_Area,$A27,1)</f>
        <v>住民税</v>
      </c>
      <c r="G27" s="305">
        <f>INDEX(給与計算!_xlnm.Print_Area,$A27,G$1+1)</f>
        <v>0</v>
      </c>
      <c r="H27" s="45"/>
      <c r="J27" s="304" t="str">
        <f>INDEX(給与計算!_xlnm.Print_Area,$A27,1)</f>
        <v>住民税</v>
      </c>
      <c r="K27" s="305">
        <f>INDEX(給与計算!_xlnm.Print_Area,$A27,K$1+1)</f>
        <v>0</v>
      </c>
      <c r="L27" s="45"/>
      <c r="N27" s="304" t="str">
        <f>INDEX(給与計算!_xlnm.Print_Area,$A27,1)</f>
        <v>住民税</v>
      </c>
      <c r="O27" s="305">
        <f>INDEX(給与計算!_xlnm.Print_Area,$A27,O$1+1)</f>
        <v>0</v>
      </c>
      <c r="P27" s="45"/>
      <c r="R27" s="304" t="str">
        <f>INDEX(給与計算!_xlnm.Print_Area,$A27,1)</f>
        <v>住民税</v>
      </c>
      <c r="S27" s="305">
        <f>INDEX(給与計算!_xlnm.Print_Area,$A27,S$1+1)</f>
        <v>0</v>
      </c>
      <c r="T27" s="45"/>
      <c r="V27" s="304" t="str">
        <f>INDEX(給与計算!_xlnm.Print_Area,$A27,1)</f>
        <v>住民税</v>
      </c>
      <c r="W27" s="305">
        <f>INDEX(給与計算!_xlnm.Print_Area,$A27,W$1+1)</f>
        <v>0</v>
      </c>
      <c r="X27" s="45"/>
      <c r="Z27" s="304" t="str">
        <f>INDEX(給与計算!_xlnm.Print_Area,$A27,1)</f>
        <v>住民税</v>
      </c>
      <c r="AA27" s="305">
        <f>INDEX(給与計算!_xlnm.Print_Area,$A27,AA$1+1)</f>
        <v>0</v>
      </c>
      <c r="AB27" s="45"/>
      <c r="AD27" s="304" t="str">
        <f>INDEX(給与計算!_xlnm.Print_Area,$A27,1)</f>
        <v>住民税</v>
      </c>
      <c r="AE27" s="305">
        <f>INDEX(給与計算!_xlnm.Print_Area,$A27,AE$1+1)</f>
        <v>0</v>
      </c>
      <c r="AF27" s="45"/>
      <c r="AH27" s="304" t="str">
        <f>INDEX(給与計算!_xlnm.Print_Area,$A27,1)</f>
        <v>住民税</v>
      </c>
      <c r="AI27" s="305">
        <f>INDEX(給与計算!_xlnm.Print_Area,$A27,AI$1+1)</f>
        <v>0</v>
      </c>
      <c r="AJ27" s="45"/>
      <c r="AL27" s="304" t="str">
        <f>INDEX(給与計算!_xlnm.Print_Area,$A27,1)</f>
        <v>住民税</v>
      </c>
      <c r="AM27" s="305">
        <f>INDEX(給与計算!_xlnm.Print_Area,$A27,AM$1+1)</f>
        <v>0</v>
      </c>
      <c r="AN27" s="45"/>
    </row>
    <row r="28" spans="1:40">
      <c r="A28" s="572">
        <v>25</v>
      </c>
      <c r="B28" s="304" t="str">
        <f>INDEX(給与計算!_xlnm.Print_Area,$A28,1)</f>
        <v>賄費</v>
      </c>
      <c r="C28" s="305">
        <f>INDEX(給与計算!_xlnm.Print_Area,$A28,C$1+1)</f>
        <v>0</v>
      </c>
      <c r="D28" s="45"/>
      <c r="F28" s="304" t="str">
        <f>INDEX(給与計算!_xlnm.Print_Area,$A28,1)</f>
        <v>賄費</v>
      </c>
      <c r="G28" s="305">
        <f>INDEX(給与計算!_xlnm.Print_Area,$A28,G$1+1)</f>
        <v>0</v>
      </c>
      <c r="H28" s="45"/>
      <c r="J28" s="304" t="str">
        <f>INDEX(給与計算!_xlnm.Print_Area,$A28,1)</f>
        <v>賄費</v>
      </c>
      <c r="K28" s="305">
        <f>INDEX(給与計算!_xlnm.Print_Area,$A28,K$1+1)</f>
        <v>0</v>
      </c>
      <c r="L28" s="45"/>
      <c r="N28" s="304" t="str">
        <f>INDEX(給与計算!_xlnm.Print_Area,$A28,1)</f>
        <v>賄費</v>
      </c>
      <c r="O28" s="305">
        <f>INDEX(給与計算!_xlnm.Print_Area,$A28,O$1+1)</f>
        <v>0</v>
      </c>
      <c r="P28" s="45"/>
      <c r="R28" s="304" t="str">
        <f>INDEX(給与計算!_xlnm.Print_Area,$A28,1)</f>
        <v>賄費</v>
      </c>
      <c r="S28" s="305">
        <f>INDEX(給与計算!_xlnm.Print_Area,$A28,S$1+1)</f>
        <v>0</v>
      </c>
      <c r="T28" s="45"/>
      <c r="V28" s="304" t="str">
        <f>INDEX(給与計算!_xlnm.Print_Area,$A28,1)</f>
        <v>賄費</v>
      </c>
      <c r="W28" s="305">
        <f>INDEX(給与計算!_xlnm.Print_Area,$A28,W$1+1)</f>
        <v>0</v>
      </c>
      <c r="X28" s="45"/>
      <c r="Z28" s="304" t="str">
        <f>INDEX(給与計算!_xlnm.Print_Area,$A28,1)</f>
        <v>賄費</v>
      </c>
      <c r="AA28" s="305">
        <f>INDEX(給与計算!_xlnm.Print_Area,$A28,AA$1+1)</f>
        <v>0</v>
      </c>
      <c r="AB28" s="45"/>
      <c r="AD28" s="304" t="str">
        <f>INDEX(給与計算!_xlnm.Print_Area,$A28,1)</f>
        <v>賄費</v>
      </c>
      <c r="AE28" s="305">
        <f>INDEX(給与計算!_xlnm.Print_Area,$A28,AE$1+1)</f>
        <v>0</v>
      </c>
      <c r="AF28" s="45"/>
      <c r="AH28" s="304" t="str">
        <f>INDEX(給与計算!_xlnm.Print_Area,$A28,1)</f>
        <v>賄費</v>
      </c>
      <c r="AI28" s="305">
        <f>INDEX(給与計算!_xlnm.Print_Area,$A28,AI$1+1)</f>
        <v>0</v>
      </c>
      <c r="AJ28" s="45"/>
      <c r="AL28" s="304" t="str">
        <f>INDEX(給与計算!_xlnm.Print_Area,$A28,1)</f>
        <v>賄費</v>
      </c>
      <c r="AM28" s="305">
        <f>INDEX(給与計算!_xlnm.Print_Area,$A28,AM$1+1)</f>
        <v>0</v>
      </c>
      <c r="AN28" s="45"/>
    </row>
    <row r="29" spans="1:40">
      <c r="A29" s="572">
        <v>26</v>
      </c>
      <c r="B29" s="304" t="str">
        <f>INDEX(給与計算!_xlnm.Print_Area,$A29,1)</f>
        <v>寮費</v>
      </c>
      <c r="C29" s="305">
        <f>INDEX(給与計算!_xlnm.Print_Area,$A29,C$1+1)</f>
        <v>0</v>
      </c>
      <c r="D29" s="45"/>
      <c r="F29" s="304" t="str">
        <f>INDEX(給与計算!_xlnm.Print_Area,$A29,1)</f>
        <v>寮費</v>
      </c>
      <c r="G29" s="305">
        <f>INDEX(給与計算!_xlnm.Print_Area,$A29,G$1+1)</f>
        <v>0</v>
      </c>
      <c r="H29" s="45"/>
      <c r="J29" s="304" t="str">
        <f>INDEX(給与計算!_xlnm.Print_Area,$A29,1)</f>
        <v>寮費</v>
      </c>
      <c r="K29" s="305">
        <f>INDEX(給与計算!_xlnm.Print_Area,$A29,K$1+1)</f>
        <v>0</v>
      </c>
      <c r="L29" s="45"/>
      <c r="N29" s="304" t="str">
        <f>INDEX(給与計算!_xlnm.Print_Area,$A29,1)</f>
        <v>寮費</v>
      </c>
      <c r="O29" s="305">
        <f>INDEX(給与計算!_xlnm.Print_Area,$A29,O$1+1)</f>
        <v>0</v>
      </c>
      <c r="P29" s="45"/>
      <c r="R29" s="304" t="str">
        <f>INDEX(給与計算!_xlnm.Print_Area,$A29,1)</f>
        <v>寮費</v>
      </c>
      <c r="S29" s="305">
        <f>INDEX(給与計算!_xlnm.Print_Area,$A29,S$1+1)</f>
        <v>0</v>
      </c>
      <c r="T29" s="45"/>
      <c r="V29" s="304" t="str">
        <f>INDEX(給与計算!_xlnm.Print_Area,$A29,1)</f>
        <v>寮費</v>
      </c>
      <c r="W29" s="305">
        <f>INDEX(給与計算!_xlnm.Print_Area,$A29,W$1+1)</f>
        <v>0</v>
      </c>
      <c r="X29" s="45"/>
      <c r="Z29" s="304" t="str">
        <f>INDEX(給与計算!_xlnm.Print_Area,$A29,1)</f>
        <v>寮費</v>
      </c>
      <c r="AA29" s="305">
        <f>INDEX(給与計算!_xlnm.Print_Area,$A29,AA$1+1)</f>
        <v>0</v>
      </c>
      <c r="AB29" s="45"/>
      <c r="AD29" s="304" t="str">
        <f>INDEX(給与計算!_xlnm.Print_Area,$A29,1)</f>
        <v>寮費</v>
      </c>
      <c r="AE29" s="305">
        <f>INDEX(給与計算!_xlnm.Print_Area,$A29,AE$1+1)</f>
        <v>0</v>
      </c>
      <c r="AF29" s="45"/>
      <c r="AH29" s="304" t="str">
        <f>INDEX(給与計算!_xlnm.Print_Area,$A29,1)</f>
        <v>寮費</v>
      </c>
      <c r="AI29" s="305">
        <f>INDEX(給与計算!_xlnm.Print_Area,$A29,AI$1+1)</f>
        <v>0</v>
      </c>
      <c r="AJ29" s="45"/>
      <c r="AL29" s="304" t="str">
        <f>INDEX(給与計算!_xlnm.Print_Area,$A29,1)</f>
        <v>寮費</v>
      </c>
      <c r="AM29" s="305">
        <f>INDEX(給与計算!_xlnm.Print_Area,$A29,AM$1+1)</f>
        <v>0</v>
      </c>
      <c r="AN29" s="45"/>
    </row>
    <row r="30" spans="1:40">
      <c r="A30" s="572">
        <v>27</v>
      </c>
      <c r="B30" s="304" t="str">
        <f>INDEX(給与計算!_xlnm.Print_Area,$A30,1)</f>
        <v>その他</v>
      </c>
      <c r="C30" s="307">
        <f>INDEX(給与計算!_xlnm.Print_Area,$A30,C$1+1)</f>
        <v>0</v>
      </c>
      <c r="D30" s="45"/>
      <c r="F30" s="304" t="str">
        <f>INDEX(給与計算!_xlnm.Print_Area,$A30,1)</f>
        <v>その他</v>
      </c>
      <c r="G30" s="307">
        <f>INDEX(給与計算!_xlnm.Print_Area,$A30,G$1+1)</f>
        <v>0</v>
      </c>
      <c r="H30" s="45"/>
      <c r="J30" s="304" t="str">
        <f>INDEX(給与計算!_xlnm.Print_Area,$A30,1)</f>
        <v>その他</v>
      </c>
      <c r="K30" s="307">
        <f>INDEX(給与計算!_xlnm.Print_Area,$A30,K$1+1)</f>
        <v>0</v>
      </c>
      <c r="L30" s="45"/>
      <c r="N30" s="304" t="str">
        <f>INDEX(給与計算!_xlnm.Print_Area,$A30,1)</f>
        <v>その他</v>
      </c>
      <c r="O30" s="307">
        <f>INDEX(給与計算!_xlnm.Print_Area,$A30,O$1+1)</f>
        <v>0</v>
      </c>
      <c r="P30" s="45"/>
      <c r="R30" s="304" t="str">
        <f>INDEX(給与計算!_xlnm.Print_Area,$A30,1)</f>
        <v>その他</v>
      </c>
      <c r="S30" s="307">
        <f>INDEX(給与計算!_xlnm.Print_Area,$A30,S$1+1)</f>
        <v>0</v>
      </c>
      <c r="T30" s="45"/>
      <c r="V30" s="304" t="str">
        <f>INDEX(給与計算!_xlnm.Print_Area,$A30,1)</f>
        <v>その他</v>
      </c>
      <c r="W30" s="307">
        <f>INDEX(給与計算!_xlnm.Print_Area,$A30,W$1+1)</f>
        <v>0</v>
      </c>
      <c r="X30" s="45"/>
      <c r="Z30" s="304" t="str">
        <f>INDEX(給与計算!_xlnm.Print_Area,$A30,1)</f>
        <v>その他</v>
      </c>
      <c r="AA30" s="307">
        <f>INDEX(給与計算!_xlnm.Print_Area,$A30,AA$1+1)</f>
        <v>0</v>
      </c>
      <c r="AB30" s="45"/>
      <c r="AD30" s="304" t="str">
        <f>INDEX(給与計算!_xlnm.Print_Area,$A30,1)</f>
        <v>その他</v>
      </c>
      <c r="AE30" s="307">
        <f>INDEX(給与計算!_xlnm.Print_Area,$A30,AE$1+1)</f>
        <v>0</v>
      </c>
      <c r="AF30" s="45"/>
      <c r="AH30" s="304" t="str">
        <f>INDEX(給与計算!_xlnm.Print_Area,$A30,1)</f>
        <v>その他</v>
      </c>
      <c r="AI30" s="307">
        <f>INDEX(給与計算!_xlnm.Print_Area,$A30,AI$1+1)</f>
        <v>0</v>
      </c>
      <c r="AJ30" s="45"/>
      <c r="AL30" s="304" t="str">
        <f>INDEX(給与計算!_xlnm.Print_Area,$A30,1)</f>
        <v>その他</v>
      </c>
      <c r="AM30" s="307">
        <f>INDEX(給与計算!_xlnm.Print_Area,$A30,AM$1+1)</f>
        <v>0</v>
      </c>
      <c r="AN30" s="45"/>
    </row>
    <row r="31" spans="1:40" ht="19" thickBot="1">
      <c r="A31" s="572">
        <v>28</v>
      </c>
      <c r="B31" s="312" t="str">
        <f>INDEX(給与計算!_xlnm.Print_Area,$A31,1)</f>
        <v>控除合計</v>
      </c>
      <c r="C31" s="313">
        <f>INDEX(給与計算!_xlnm.Print_Area,$A31,C$1+1)</f>
        <v>0</v>
      </c>
      <c r="D31" s="45"/>
      <c r="F31" s="312" t="str">
        <f>INDEX(給与計算!_xlnm.Print_Area,$A31,1)</f>
        <v>控除合計</v>
      </c>
      <c r="G31" s="313">
        <f>INDEX(給与計算!_xlnm.Print_Area,$A31,G$1+1)</f>
        <v>0</v>
      </c>
      <c r="H31" s="45"/>
      <c r="J31" s="312" t="str">
        <f>INDEX(給与計算!_xlnm.Print_Area,$A31,1)</f>
        <v>控除合計</v>
      </c>
      <c r="K31" s="313">
        <f>INDEX(給与計算!_xlnm.Print_Area,$A31,K$1+1)</f>
        <v>0</v>
      </c>
      <c r="L31" s="45"/>
      <c r="N31" s="312" t="str">
        <f>INDEX(給与計算!_xlnm.Print_Area,$A31,1)</f>
        <v>控除合計</v>
      </c>
      <c r="O31" s="313">
        <f>INDEX(給与計算!_xlnm.Print_Area,$A31,O$1+1)</f>
        <v>0</v>
      </c>
      <c r="P31" s="45"/>
      <c r="R31" s="312" t="str">
        <f>INDEX(給与計算!_xlnm.Print_Area,$A31,1)</f>
        <v>控除合計</v>
      </c>
      <c r="S31" s="313">
        <f>INDEX(給与計算!_xlnm.Print_Area,$A31,S$1+1)</f>
        <v>0</v>
      </c>
      <c r="T31" s="45"/>
      <c r="V31" s="312" t="str">
        <f>INDEX(給与計算!_xlnm.Print_Area,$A31,1)</f>
        <v>控除合計</v>
      </c>
      <c r="W31" s="313">
        <f>INDEX(給与計算!_xlnm.Print_Area,$A31,W$1+1)</f>
        <v>0</v>
      </c>
      <c r="X31" s="45"/>
      <c r="Z31" s="312" t="str">
        <f>INDEX(給与計算!_xlnm.Print_Area,$A31,1)</f>
        <v>控除合計</v>
      </c>
      <c r="AA31" s="313">
        <f>INDEX(給与計算!_xlnm.Print_Area,$A31,AA$1+1)</f>
        <v>0</v>
      </c>
      <c r="AB31" s="45"/>
      <c r="AD31" s="312" t="str">
        <f>INDEX(給与計算!_xlnm.Print_Area,$A31,1)</f>
        <v>控除合計</v>
      </c>
      <c r="AE31" s="313">
        <f>INDEX(給与計算!_xlnm.Print_Area,$A31,AE$1+1)</f>
        <v>0</v>
      </c>
      <c r="AF31" s="45"/>
      <c r="AH31" s="312" t="str">
        <f>INDEX(給与計算!_xlnm.Print_Area,$A31,1)</f>
        <v>控除合計</v>
      </c>
      <c r="AI31" s="313">
        <f>INDEX(給与計算!_xlnm.Print_Area,$A31,AI$1+1)</f>
        <v>0</v>
      </c>
      <c r="AJ31" s="45"/>
      <c r="AL31" s="312" t="str">
        <f>INDEX(給与計算!_xlnm.Print_Area,$A31,1)</f>
        <v>控除合計</v>
      </c>
      <c r="AM31" s="313">
        <f>INDEX(給与計算!_xlnm.Print_Area,$A31,AM$1+1)</f>
        <v>0</v>
      </c>
      <c r="AN31" s="45"/>
    </row>
    <row r="32" spans="1:40" ht="9.75" customHeight="1" thickBot="1">
      <c r="A32" s="572"/>
      <c r="B32" s="316"/>
      <c r="C32" s="317"/>
      <c r="D32" s="45"/>
      <c r="F32" s="316"/>
      <c r="G32" s="317"/>
      <c r="H32" s="45"/>
      <c r="J32" s="316"/>
      <c r="K32" s="317"/>
      <c r="L32" s="45"/>
      <c r="N32" s="316"/>
      <c r="O32" s="317"/>
      <c r="P32" s="45"/>
      <c r="R32" s="316"/>
      <c r="S32" s="317"/>
      <c r="T32" s="45"/>
      <c r="V32" s="316"/>
      <c r="W32" s="317"/>
      <c r="X32" s="45"/>
      <c r="Z32" s="316"/>
      <c r="AA32" s="317"/>
      <c r="AB32" s="45"/>
      <c r="AD32" s="316"/>
      <c r="AE32" s="317"/>
      <c r="AF32" s="45"/>
      <c r="AH32" s="316"/>
      <c r="AI32" s="317"/>
      <c r="AJ32" s="45"/>
      <c r="AL32" s="316"/>
      <c r="AM32" s="317"/>
      <c r="AN32" s="45"/>
    </row>
    <row r="33" spans="1:40" ht="19" thickBot="1">
      <c r="A33" s="572">
        <v>30</v>
      </c>
      <c r="B33" s="318" t="str">
        <f>INDEX(給与計算!_xlnm.Print_Area,$A33,1)</f>
        <v>差引支給額</v>
      </c>
      <c r="C33" s="319">
        <f>INDEX(給与計算!_xlnm.Print_Area,$A33,C$1+1)</f>
        <v>0</v>
      </c>
      <c r="D33" s="45"/>
      <c r="F33" s="318" t="str">
        <f>INDEX(給与計算!_xlnm.Print_Area,$A33,1)</f>
        <v>差引支給額</v>
      </c>
      <c r="G33" s="319">
        <f>INDEX(給与計算!_xlnm.Print_Area,$A33,G$1+1)</f>
        <v>0</v>
      </c>
      <c r="H33" s="45"/>
      <c r="J33" s="318" t="str">
        <f>INDEX(給与計算!_xlnm.Print_Area,$A33,1)</f>
        <v>差引支給額</v>
      </c>
      <c r="K33" s="319">
        <f>INDEX(給与計算!_xlnm.Print_Area,$A33,K$1+1)</f>
        <v>0</v>
      </c>
      <c r="L33" s="45"/>
      <c r="N33" s="318" t="str">
        <f>INDEX(給与計算!_xlnm.Print_Area,$A33,1)</f>
        <v>差引支給額</v>
      </c>
      <c r="O33" s="319">
        <f>INDEX(給与計算!_xlnm.Print_Area,$A33,O$1+1)</f>
        <v>0</v>
      </c>
      <c r="P33" s="45"/>
      <c r="R33" s="318" t="str">
        <f>INDEX(給与計算!_xlnm.Print_Area,$A33,1)</f>
        <v>差引支給額</v>
      </c>
      <c r="S33" s="319">
        <f>INDEX(給与計算!_xlnm.Print_Area,$A33,S$1+1)</f>
        <v>0</v>
      </c>
      <c r="T33" s="45"/>
      <c r="V33" s="318" t="str">
        <f>INDEX(給与計算!_xlnm.Print_Area,$A33,1)</f>
        <v>差引支給額</v>
      </c>
      <c r="W33" s="319">
        <f>INDEX(給与計算!_xlnm.Print_Area,$A33,W$1+1)</f>
        <v>0</v>
      </c>
      <c r="X33" s="45"/>
      <c r="Z33" s="318" t="str">
        <f>INDEX(給与計算!_xlnm.Print_Area,$A33,1)</f>
        <v>差引支給額</v>
      </c>
      <c r="AA33" s="319">
        <f>INDEX(給与計算!_xlnm.Print_Area,$A33,AA$1+1)</f>
        <v>0</v>
      </c>
      <c r="AB33" s="45"/>
      <c r="AD33" s="318" t="str">
        <f>INDEX(給与計算!_xlnm.Print_Area,$A33,1)</f>
        <v>差引支給額</v>
      </c>
      <c r="AE33" s="319">
        <f>INDEX(給与計算!_xlnm.Print_Area,$A33,AE$1+1)</f>
        <v>0</v>
      </c>
      <c r="AF33" s="45"/>
      <c r="AH33" s="318" t="str">
        <f>INDEX(給与計算!_xlnm.Print_Area,$A33,1)</f>
        <v>差引支給額</v>
      </c>
      <c r="AI33" s="319">
        <f>INDEX(給与計算!_xlnm.Print_Area,$A33,AI$1+1)</f>
        <v>0</v>
      </c>
      <c r="AJ33" s="45"/>
      <c r="AL33" s="318" t="str">
        <f>INDEX(給与計算!_xlnm.Print_Area,$A33,1)</f>
        <v>差引支給額</v>
      </c>
      <c r="AM33" s="319">
        <f>INDEX(給与計算!_xlnm.Print_Area,$A33,AM$1+1)</f>
        <v>0</v>
      </c>
      <c r="AN33" s="45"/>
    </row>
    <row r="34" spans="1:40">
      <c r="B34" s="2"/>
      <c r="C34" s="2"/>
      <c r="F34" s="2"/>
      <c r="G34" s="2"/>
      <c r="J34" s="2"/>
      <c r="K34" s="2"/>
      <c r="N34" s="2"/>
      <c r="R34" s="2"/>
      <c r="S34" s="2"/>
      <c r="V34" s="2"/>
      <c r="W34" s="2"/>
      <c r="Z34" s="2"/>
      <c r="AA34" s="2"/>
      <c r="AD34" s="2"/>
      <c r="AE34" s="2"/>
      <c r="AH34" s="2"/>
      <c r="AI34" s="2"/>
      <c r="AL34" s="2"/>
      <c r="AM34" s="2"/>
    </row>
    <row r="35" spans="1:40">
      <c r="B35" s="2"/>
      <c r="C35" s="2"/>
      <c r="F35" s="2"/>
      <c r="G35" s="2"/>
      <c r="J35" s="2"/>
      <c r="K35" s="2"/>
      <c r="R35" s="2"/>
      <c r="S35" s="2"/>
      <c r="V35" s="2"/>
      <c r="W35" s="2"/>
      <c r="Z35" s="2"/>
      <c r="AA35" s="2"/>
      <c r="AD35" s="2"/>
      <c r="AE35" s="2"/>
      <c r="AH35" s="2"/>
      <c r="AI35" s="2"/>
      <c r="AL35" s="2"/>
      <c r="AM35" s="2"/>
    </row>
  </sheetData>
  <phoneticPr fontId="9"/>
  <pageMargins left="0.2" right="0.2" top="0.39370078740157483" bottom="0.19685039370078741" header="0.19685039370078741" footer="0.39370078740157483"/>
  <pageSetup paperSize="13"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youKeisan" enableFormatConditionsCalculation="0">
    <tabColor indexed="13"/>
    <pageSetUpPr fitToPage="1"/>
  </sheetPr>
  <dimension ref="A1:S64"/>
  <sheetViews>
    <sheetView zoomScale="80" zoomScaleNormal="80" zoomScalePageLayoutView="80" workbookViewId="0">
      <pane xSplit="2" ySplit="6" topLeftCell="C7" activePane="bottomRight" state="frozen"/>
      <selection pane="topRight" activeCell="B1" sqref="B1"/>
      <selection pane="bottomLeft" activeCell="A14" sqref="A14"/>
      <selection pane="bottomRight" activeCell="B6" sqref="B6"/>
    </sheetView>
  </sheetViews>
  <sheetFormatPr baseColWidth="12" defaultColWidth="8.83203125" defaultRowHeight="17" x14ac:dyDescent="0"/>
  <cols>
    <col min="1" max="1" width="3.5" bestFit="1" customWidth="1"/>
    <col min="2" max="2" width="11.6640625" style="331" customWidth="1"/>
    <col min="3" max="5" width="11.6640625" style="331" bestFit="1" customWidth="1"/>
    <col min="6" max="8" width="11.6640625" style="331" customWidth="1"/>
    <col min="9" max="13" width="11.6640625" style="331" bestFit="1" customWidth="1"/>
    <col min="14" max="14" width="9" style="331" bestFit="1"/>
    <col min="15" max="15" width="7.5" style="331" bestFit="1" customWidth="1"/>
    <col min="16" max="16" width="7.1640625" style="331" customWidth="1"/>
    <col min="17" max="18" width="10.1640625" style="331" customWidth="1"/>
    <col min="19" max="19" width="13.1640625" style="331" bestFit="1" customWidth="1"/>
    <col min="20" max="20" width="2.83203125" style="331" customWidth="1"/>
    <col min="21" max="21" width="15.83203125" style="331" customWidth="1"/>
    <col min="22" max="16384" width="8.83203125" style="331"/>
  </cols>
  <sheetData>
    <row r="1" spans="1:19" ht="18">
      <c r="A1" s="567">
        <v>1</v>
      </c>
      <c r="B1" s="249" t="s">
        <v>171</v>
      </c>
      <c r="C1" s="619" t="str">
        <f ca="1">"平成"&amp;(YEAR(NOW())-1988)&amp;"年"&amp;IF(AND(MONTH(NOW())&lt;11,MONTH(NOW())&gt;5),"夏期","冬期")</f>
        <v>平成27年夏期</v>
      </c>
      <c r="D1" s="619"/>
      <c r="E1" s="249"/>
      <c r="F1" s="249"/>
      <c r="G1" s="249"/>
      <c r="H1" s="249"/>
      <c r="I1" s="249"/>
      <c r="J1" s="249"/>
      <c r="K1" s="249"/>
      <c r="L1" s="249"/>
      <c r="M1" s="249"/>
      <c r="N1" s="249"/>
      <c r="S1" s="332"/>
    </row>
    <row r="2" spans="1:19" ht="18">
      <c r="A2" s="567"/>
      <c r="B2" s="249"/>
      <c r="C2" s="333"/>
      <c r="D2" s="333"/>
      <c r="E2" s="249"/>
      <c r="F2" s="249"/>
      <c r="G2" s="249"/>
      <c r="H2" s="249"/>
      <c r="I2" s="249"/>
      <c r="J2" s="249"/>
      <c r="K2" s="249"/>
      <c r="L2" s="249"/>
      <c r="M2" s="249"/>
      <c r="N2" s="249"/>
    </row>
    <row r="3" spans="1:19" ht="18">
      <c r="A3" s="567"/>
      <c r="B3" s="334" t="s">
        <v>126</v>
      </c>
      <c r="C3" s="335"/>
      <c r="D3" s="249" t="s">
        <v>143</v>
      </c>
      <c r="E3" s="249"/>
      <c r="F3" s="249"/>
      <c r="G3" s="334" t="s">
        <v>49</v>
      </c>
      <c r="H3" s="280">
        <f>C3*C4*1000</f>
        <v>0</v>
      </c>
      <c r="I3" s="249" t="s">
        <v>144</v>
      </c>
      <c r="J3" s="249"/>
      <c r="N3" s="249"/>
    </row>
    <row r="4" spans="1:19" ht="18">
      <c r="A4" s="567"/>
      <c r="B4" s="334" t="s">
        <v>4</v>
      </c>
      <c r="C4" s="336">
        <v>0.05</v>
      </c>
      <c r="D4" s="249"/>
      <c r="E4" s="337">
        <v>3</v>
      </c>
      <c r="F4" s="249" t="s">
        <v>257</v>
      </c>
      <c r="G4" s="338" t="s">
        <v>122</v>
      </c>
      <c r="H4" s="280">
        <f>INT(H3/E4/100)*100</f>
        <v>0</v>
      </c>
      <c r="I4" s="249" t="s">
        <v>144</v>
      </c>
      <c r="J4" s="249"/>
      <c r="N4" s="249"/>
    </row>
    <row r="5" spans="1:19" ht="19" thickBot="1">
      <c r="A5" s="567"/>
      <c r="B5" s="339"/>
      <c r="C5" s="280"/>
      <c r="D5" s="249"/>
      <c r="E5" s="249"/>
      <c r="F5" s="249"/>
      <c r="G5" s="249"/>
      <c r="H5" s="249"/>
      <c r="I5" s="280"/>
      <c r="J5" s="280"/>
      <c r="K5" s="249"/>
      <c r="L5" s="249"/>
      <c r="M5" s="249"/>
      <c r="N5" s="249"/>
    </row>
    <row r="6" spans="1:19" ht="18">
      <c r="A6" s="567">
        <v>6</v>
      </c>
      <c r="B6" s="340"/>
      <c r="C6" s="245" t="str">
        <f t="shared" ref="C6:L6" si="0">IF(C$31=VLOOKUP(C$31,従業者一覧表,1),VLOOKUP(C$31,従業者一覧表,6),"")</f>
        <v>A</v>
      </c>
      <c r="D6" s="245" t="str">
        <f t="shared" si="0"/>
        <v>B</v>
      </c>
      <c r="E6" s="245" t="str">
        <f t="shared" si="0"/>
        <v>C</v>
      </c>
      <c r="F6" s="245" t="str">
        <f t="shared" si="0"/>
        <v>D</v>
      </c>
      <c r="G6" s="245" t="str">
        <f t="shared" si="0"/>
        <v>E</v>
      </c>
      <c r="H6" s="245">
        <f t="shared" si="0"/>
        <v>0</v>
      </c>
      <c r="I6" s="245">
        <f t="shared" si="0"/>
        <v>0</v>
      </c>
      <c r="J6" s="245">
        <f t="shared" si="0"/>
        <v>0</v>
      </c>
      <c r="K6" s="245">
        <f t="shared" si="0"/>
        <v>0</v>
      </c>
      <c r="L6" s="245">
        <f t="shared" si="0"/>
        <v>0</v>
      </c>
      <c r="M6" s="246" t="s">
        <v>45</v>
      </c>
      <c r="N6" s="249"/>
      <c r="O6" s="247" t="str">
        <f ca="1">IF(M28=N30,"OK","NO")</f>
        <v>OK</v>
      </c>
      <c r="P6" s="249"/>
      <c r="Q6" s="249"/>
    </row>
    <row r="7" spans="1:19" ht="19" thickBot="1">
      <c r="A7" s="567"/>
      <c r="B7" s="342" t="s">
        <v>30</v>
      </c>
      <c r="C7" s="343">
        <f>$H$4*C11</f>
        <v>0</v>
      </c>
      <c r="D7" s="343">
        <f>$H$4*D11</f>
        <v>0</v>
      </c>
      <c r="E7" s="343">
        <f>$H$4*E11</f>
        <v>0</v>
      </c>
      <c r="F7" s="343">
        <f t="shared" ref="F7:H7" si="1">$H$4*F11</f>
        <v>0</v>
      </c>
      <c r="G7" s="343">
        <f t="shared" si="1"/>
        <v>0</v>
      </c>
      <c r="H7" s="343">
        <f t="shared" si="1"/>
        <v>0</v>
      </c>
      <c r="I7" s="343">
        <f>$H$4*I11</f>
        <v>0</v>
      </c>
      <c r="J7" s="343">
        <f>$H$4*J11</f>
        <v>0</v>
      </c>
      <c r="K7" s="343">
        <f>$H$4*K11</f>
        <v>0</v>
      </c>
      <c r="L7" s="343">
        <f>$H$4*L11</f>
        <v>0</v>
      </c>
      <c r="M7" s="344">
        <f>SUM(D7:L7)</f>
        <v>0</v>
      </c>
      <c r="N7" s="249" t="s">
        <v>138</v>
      </c>
      <c r="O7" s="249" t="s">
        <v>62</v>
      </c>
      <c r="P7" s="249"/>
      <c r="Q7" s="249"/>
    </row>
    <row r="8" spans="1:19" ht="19" thickTop="1">
      <c r="A8" s="567"/>
      <c r="B8" s="345" t="s">
        <v>161</v>
      </c>
      <c r="C8" s="346">
        <v>1000</v>
      </c>
      <c r="D8" s="347">
        <v>2000</v>
      </c>
      <c r="E8" s="346"/>
      <c r="F8" s="346"/>
      <c r="G8" s="346"/>
      <c r="H8" s="346"/>
      <c r="I8" s="347"/>
      <c r="J8" s="347"/>
      <c r="K8" s="347"/>
      <c r="L8" s="347"/>
      <c r="M8" s="348">
        <f>SUM(D8:L8)</f>
        <v>2000</v>
      </c>
      <c r="N8" s="249" t="s">
        <v>256</v>
      </c>
      <c r="O8" s="349">
        <v>10000</v>
      </c>
      <c r="P8" s="350">
        <f ca="1">M34</f>
        <v>0</v>
      </c>
      <c r="Q8" s="351">
        <f t="shared" ref="Q8:Q17" ca="1" si="2">P8*O8</f>
        <v>0</v>
      </c>
    </row>
    <row r="9" spans="1:19" ht="18">
      <c r="A9" s="567"/>
      <c r="B9" s="352" t="s">
        <v>136</v>
      </c>
      <c r="C9" s="336">
        <v>0.05</v>
      </c>
      <c r="D9" s="336">
        <v>0.05</v>
      </c>
      <c r="E9" s="336">
        <v>0.05</v>
      </c>
      <c r="F9" s="336">
        <v>0.05</v>
      </c>
      <c r="G9" s="336">
        <v>0.05</v>
      </c>
      <c r="H9" s="336">
        <v>0.05</v>
      </c>
      <c r="I9" s="336">
        <v>0.05</v>
      </c>
      <c r="J9" s="336">
        <v>0.05</v>
      </c>
      <c r="K9" s="336">
        <v>0.05</v>
      </c>
      <c r="L9" s="336">
        <v>0.05</v>
      </c>
      <c r="M9" s="353"/>
      <c r="N9" s="249"/>
      <c r="O9" s="354">
        <v>5000</v>
      </c>
      <c r="P9" s="355">
        <f ca="1">M36</f>
        <v>0</v>
      </c>
      <c r="Q9" s="356">
        <f t="shared" ca="1" si="2"/>
        <v>0</v>
      </c>
    </row>
    <row r="10" spans="1:19" ht="19" thickBot="1">
      <c r="A10" s="567"/>
      <c r="B10" s="357" t="s">
        <v>251</v>
      </c>
      <c r="C10" s="358">
        <f t="shared" ref="C10:L10" si="3">INT(C8*C9*1000)</f>
        <v>50000</v>
      </c>
      <c r="D10" s="358">
        <f t="shared" si="3"/>
        <v>100000</v>
      </c>
      <c r="E10" s="358">
        <f t="shared" si="3"/>
        <v>0</v>
      </c>
      <c r="F10" s="358">
        <f t="shared" ref="F10:H10" si="4">INT(F8*F9*1000)</f>
        <v>0</v>
      </c>
      <c r="G10" s="358">
        <f t="shared" si="4"/>
        <v>0</v>
      </c>
      <c r="H10" s="358">
        <f t="shared" si="4"/>
        <v>0</v>
      </c>
      <c r="I10" s="358">
        <f t="shared" ref="I10" si="5">INT(I8*I9*1000)</f>
        <v>0</v>
      </c>
      <c r="J10" s="358">
        <f t="shared" si="3"/>
        <v>0</v>
      </c>
      <c r="K10" s="358">
        <f t="shared" si="3"/>
        <v>0</v>
      </c>
      <c r="L10" s="358">
        <f t="shared" si="3"/>
        <v>0</v>
      </c>
      <c r="M10" s="359">
        <f>SUM(D10:L10)</f>
        <v>100000</v>
      </c>
      <c r="N10" s="249" t="s">
        <v>138</v>
      </c>
      <c r="O10" s="354">
        <v>2000</v>
      </c>
      <c r="P10" s="355">
        <f ca="1">M38</f>
        <v>0</v>
      </c>
      <c r="Q10" s="356">
        <f t="shared" ca="1" si="2"/>
        <v>0</v>
      </c>
    </row>
    <row r="11" spans="1:19" ht="19" thickBot="1">
      <c r="A11" s="567"/>
      <c r="C11" s="437"/>
      <c r="D11" s="438"/>
      <c r="E11" s="438"/>
      <c r="F11" s="438"/>
      <c r="G11" s="438"/>
      <c r="H11" s="438"/>
      <c r="I11" s="438"/>
      <c r="J11" s="438"/>
      <c r="K11" s="438"/>
      <c r="L11" s="438"/>
      <c r="N11" s="445"/>
      <c r="O11" s="354">
        <v>1000</v>
      </c>
      <c r="P11" s="355">
        <f ca="1">M40</f>
        <v>0</v>
      </c>
      <c r="Q11" s="356">
        <f t="shared" ca="1" si="2"/>
        <v>0</v>
      </c>
    </row>
    <row r="12" spans="1:19" ht="18">
      <c r="A12" s="567">
        <v>12</v>
      </c>
      <c r="B12" s="340"/>
      <c r="C12" s="341" t="str">
        <f t="shared" ref="C12:D12" si="6">C6</f>
        <v>A</v>
      </c>
      <c r="D12" s="245" t="str">
        <f t="shared" si="6"/>
        <v>B</v>
      </c>
      <c r="E12" s="245" t="str">
        <f t="shared" ref="E12:L12" si="7">E6</f>
        <v>C</v>
      </c>
      <c r="F12" s="245" t="str">
        <f t="shared" ref="F12:H12" si="8">F6</f>
        <v>D</v>
      </c>
      <c r="G12" s="245" t="str">
        <f t="shared" si="8"/>
        <v>E</v>
      </c>
      <c r="H12" s="245">
        <f t="shared" si="8"/>
        <v>0</v>
      </c>
      <c r="I12" s="245">
        <f t="shared" ref="I12" si="9">I6</f>
        <v>0</v>
      </c>
      <c r="J12" s="245">
        <f t="shared" si="7"/>
        <v>0</v>
      </c>
      <c r="K12" s="245">
        <f t="shared" si="7"/>
        <v>0</v>
      </c>
      <c r="L12" s="245">
        <f t="shared" si="7"/>
        <v>0</v>
      </c>
      <c r="M12" s="246" t="s">
        <v>45</v>
      </c>
      <c r="N12" s="249"/>
      <c r="O12" s="354">
        <v>500</v>
      </c>
      <c r="P12" s="355">
        <f ca="1">M42</f>
        <v>0</v>
      </c>
      <c r="Q12" s="356">
        <f t="shared" ca="1" si="2"/>
        <v>0</v>
      </c>
    </row>
    <row r="13" spans="1:19" ht="18">
      <c r="A13" s="567"/>
      <c r="B13" s="439" t="s">
        <v>293</v>
      </c>
      <c r="C13" s="440">
        <v>0</v>
      </c>
      <c r="D13" s="440">
        <v>0</v>
      </c>
      <c r="E13" s="440"/>
      <c r="F13" s="440"/>
      <c r="G13" s="440"/>
      <c r="H13" s="440"/>
      <c r="I13" s="440"/>
      <c r="J13" s="440"/>
      <c r="K13" s="440"/>
      <c r="L13" s="440"/>
      <c r="M13" s="441"/>
      <c r="N13" s="249"/>
      <c r="O13" s="354">
        <v>100</v>
      </c>
      <c r="P13" s="355">
        <f ca="1">M44</f>
        <v>0</v>
      </c>
      <c r="Q13" s="356">
        <f t="shared" ca="1" si="2"/>
        <v>0</v>
      </c>
    </row>
    <row r="14" spans="1:19" ht="18">
      <c r="A14" s="567">
        <v>14</v>
      </c>
      <c r="B14" s="250" t="s">
        <v>254</v>
      </c>
      <c r="C14" s="436">
        <f>IF(C6="",0,IF(C13&gt;0,C13,給与計算!C3))</f>
        <v>0</v>
      </c>
      <c r="D14" s="436">
        <f>IF(D6="",0,IF(D13&gt;0,D13,給与計算!D3))</f>
        <v>0</v>
      </c>
      <c r="E14" s="436">
        <f>IF(E6="",0,IF(E13&gt;0,E13,給与計算!E3))</f>
        <v>0</v>
      </c>
      <c r="F14" s="436">
        <f>IF(F6="",0,IF(F13&gt;0,F13,給与計算!F3))</f>
        <v>0</v>
      </c>
      <c r="G14" s="436">
        <f>IF(G6="",0,IF(G13&gt;0,G13,給与計算!G3))</f>
        <v>0</v>
      </c>
      <c r="H14" s="436">
        <f>IF(H6="",0,IF(H13&gt;0,H13,給与計算!H3))</f>
        <v>0</v>
      </c>
      <c r="I14" s="436">
        <f>IF(I6="",0,IF(I13&gt;0,I13,給与計算!I3))</f>
        <v>0</v>
      </c>
      <c r="J14" s="436">
        <f>IF(J6="",0,IF(J13&gt;0,J13,給与計算!J3))</f>
        <v>0</v>
      </c>
      <c r="K14" s="436">
        <f>IF(K6="",0,IF(K13&gt;0,K13,給与計算!K3))</f>
        <v>0</v>
      </c>
      <c r="L14" s="436">
        <f>IF(L6="",0,IF(L13&gt;0,L13,給与計算!L3))</f>
        <v>0</v>
      </c>
      <c r="M14" s="362">
        <f>SUM(D14:L14)</f>
        <v>0</v>
      </c>
      <c r="N14" s="435"/>
      <c r="O14" s="354">
        <v>50</v>
      </c>
      <c r="P14" s="355">
        <f ca="1">M46</f>
        <v>0</v>
      </c>
      <c r="Q14" s="356">
        <f t="shared" ca="1" si="2"/>
        <v>0</v>
      </c>
    </row>
    <row r="15" spans="1:19" ht="18">
      <c r="A15" s="567">
        <v>15</v>
      </c>
      <c r="B15" s="253" t="s">
        <v>255</v>
      </c>
      <c r="C15" s="361">
        <f>C7*$N15</f>
        <v>0</v>
      </c>
      <c r="D15" s="361">
        <f t="shared" ref="D15:L15" si="10">D7*$N15</f>
        <v>0</v>
      </c>
      <c r="E15" s="361">
        <f t="shared" si="10"/>
        <v>0</v>
      </c>
      <c r="F15" s="361">
        <f t="shared" si="10"/>
        <v>0</v>
      </c>
      <c r="G15" s="361">
        <f t="shared" si="10"/>
        <v>0</v>
      </c>
      <c r="H15" s="361">
        <f t="shared" si="10"/>
        <v>0</v>
      </c>
      <c r="I15" s="361">
        <f t="shared" si="10"/>
        <v>0</v>
      </c>
      <c r="J15" s="361">
        <f t="shared" si="10"/>
        <v>0</v>
      </c>
      <c r="K15" s="361">
        <f t="shared" si="10"/>
        <v>0</v>
      </c>
      <c r="L15" s="361">
        <f t="shared" si="10"/>
        <v>0</v>
      </c>
      <c r="M15" s="362">
        <f>SUM(D15:L15)</f>
        <v>0</v>
      </c>
      <c r="N15" s="435"/>
      <c r="O15" s="354">
        <v>10</v>
      </c>
      <c r="P15" s="355">
        <f ca="1">M48</f>
        <v>0</v>
      </c>
      <c r="Q15" s="356">
        <f t="shared" ca="1" si="2"/>
        <v>0</v>
      </c>
    </row>
    <row r="16" spans="1:19" ht="18">
      <c r="A16" s="567">
        <v>16</v>
      </c>
      <c r="B16" s="253" t="s">
        <v>131</v>
      </c>
      <c r="C16" s="363">
        <f>C10*$N16</f>
        <v>0</v>
      </c>
      <c r="D16" s="363">
        <f t="shared" ref="D16:L16" si="11">D10*$N16</f>
        <v>0</v>
      </c>
      <c r="E16" s="363">
        <f t="shared" si="11"/>
        <v>0</v>
      </c>
      <c r="F16" s="363">
        <f t="shared" si="11"/>
        <v>0</v>
      </c>
      <c r="G16" s="363">
        <f t="shared" si="11"/>
        <v>0</v>
      </c>
      <c r="H16" s="363">
        <f t="shared" si="11"/>
        <v>0</v>
      </c>
      <c r="I16" s="363">
        <f t="shared" si="11"/>
        <v>0</v>
      </c>
      <c r="J16" s="363">
        <f t="shared" si="11"/>
        <v>0</v>
      </c>
      <c r="K16" s="363">
        <f t="shared" si="11"/>
        <v>0</v>
      </c>
      <c r="L16" s="363">
        <f t="shared" si="11"/>
        <v>0</v>
      </c>
      <c r="M16" s="362">
        <f>SUM(D16:L16)</f>
        <v>0</v>
      </c>
      <c r="N16" s="435"/>
      <c r="O16" s="354">
        <v>5</v>
      </c>
      <c r="P16" s="355">
        <f ca="1">M50</f>
        <v>0</v>
      </c>
      <c r="Q16" s="356">
        <f t="shared" ca="1" si="2"/>
        <v>0</v>
      </c>
    </row>
    <row r="17" spans="1:18" ht="19" thickBot="1">
      <c r="A17" s="567">
        <v>17</v>
      </c>
      <c r="B17" s="262" t="s">
        <v>50</v>
      </c>
      <c r="C17" s="364">
        <f t="shared" ref="C17:D17" si="12">SUM(C14:C16)</f>
        <v>0</v>
      </c>
      <c r="D17" s="263">
        <f t="shared" si="12"/>
        <v>0</v>
      </c>
      <c r="E17" s="263">
        <f t="shared" ref="E17:M17" si="13">SUM(E14:E16)</f>
        <v>0</v>
      </c>
      <c r="F17" s="263">
        <f t="shared" ref="F17:H17" si="14">SUM(F14:F16)</f>
        <v>0</v>
      </c>
      <c r="G17" s="263">
        <f t="shared" si="14"/>
        <v>0</v>
      </c>
      <c r="H17" s="263">
        <f t="shared" si="14"/>
        <v>0</v>
      </c>
      <c r="I17" s="263">
        <f t="shared" ref="I17" si="15">SUM(I14:I16)</f>
        <v>0</v>
      </c>
      <c r="J17" s="263">
        <f t="shared" si="13"/>
        <v>0</v>
      </c>
      <c r="K17" s="263">
        <f t="shared" si="13"/>
        <v>0</v>
      </c>
      <c r="L17" s="263">
        <f t="shared" si="13"/>
        <v>0</v>
      </c>
      <c r="M17" s="264">
        <f t="shared" si="13"/>
        <v>0</v>
      </c>
      <c r="N17" s="331" t="s">
        <v>68</v>
      </c>
      <c r="O17" s="354">
        <v>1</v>
      </c>
      <c r="P17" s="355">
        <f ca="1">M52</f>
        <v>0</v>
      </c>
      <c r="Q17" s="356">
        <f t="shared" ca="1" si="2"/>
        <v>0</v>
      </c>
    </row>
    <row r="18" spans="1:18" ht="19" thickBot="1">
      <c r="A18" s="567"/>
      <c r="B18" s="249"/>
      <c r="C18" s="249"/>
      <c r="D18" s="249"/>
      <c r="E18" s="249"/>
      <c r="F18" s="249"/>
      <c r="G18" s="249"/>
      <c r="H18" s="249"/>
      <c r="I18" s="249"/>
      <c r="J18" s="249"/>
      <c r="K18" s="249"/>
      <c r="L18" s="249"/>
      <c r="M18" s="249"/>
      <c r="N18" s="249"/>
      <c r="O18" s="367"/>
      <c r="P18" s="368"/>
      <c r="Q18" s="369">
        <f ca="1">SUM(Q8:Q17)</f>
        <v>0</v>
      </c>
    </row>
    <row r="19" spans="1:18" ht="18">
      <c r="A19" s="567">
        <v>19</v>
      </c>
      <c r="B19" s="265" t="s">
        <v>215</v>
      </c>
      <c r="C19" s="365">
        <f t="shared" ref="C19:D19" ca="1" si="16">INT(C58)</f>
        <v>0</v>
      </c>
      <c r="D19" s="365">
        <f t="shared" ca="1" si="16"/>
        <v>0</v>
      </c>
      <c r="E19" s="365">
        <f t="shared" ref="E19:L20" ca="1" si="17">INT(E58)</f>
        <v>0</v>
      </c>
      <c r="F19" s="365">
        <f t="shared" ref="F19:H19" ca="1" si="18">INT(F58)</f>
        <v>0</v>
      </c>
      <c r="G19" s="365">
        <f t="shared" ca="1" si="18"/>
        <v>0</v>
      </c>
      <c r="H19" s="365">
        <f t="shared" si="18"/>
        <v>0</v>
      </c>
      <c r="I19" s="365">
        <f t="shared" ref="I19" ca="1" si="19">INT(I58)</f>
        <v>0</v>
      </c>
      <c r="J19" s="365">
        <f t="shared" ca="1" si="17"/>
        <v>0</v>
      </c>
      <c r="K19" s="365">
        <f t="shared" si="17"/>
        <v>0</v>
      </c>
      <c r="L19" s="365">
        <f t="shared" si="17"/>
        <v>0</v>
      </c>
      <c r="M19" s="366">
        <f ca="1">SUM(D19:L19)</f>
        <v>0</v>
      </c>
      <c r="N19" s="249"/>
      <c r="Q19" s="370" t="s">
        <v>114</v>
      </c>
    </row>
    <row r="20" spans="1:18" ht="18">
      <c r="A20" s="567">
        <v>20</v>
      </c>
      <c r="B20" s="253" t="s">
        <v>13</v>
      </c>
      <c r="C20" s="363">
        <f t="shared" ref="C20:D20" si="20">INT(C59)</f>
        <v>0</v>
      </c>
      <c r="D20" s="363">
        <f t="shared" si="20"/>
        <v>0</v>
      </c>
      <c r="E20" s="363">
        <f t="shared" si="17"/>
        <v>0</v>
      </c>
      <c r="F20" s="363">
        <f t="shared" ref="F20:H20" si="21">INT(F59)</f>
        <v>0</v>
      </c>
      <c r="G20" s="363">
        <f t="shared" si="21"/>
        <v>0</v>
      </c>
      <c r="H20" s="363">
        <f t="shared" si="21"/>
        <v>0</v>
      </c>
      <c r="I20" s="363">
        <f t="shared" ref="I20" si="22">INT(I59)</f>
        <v>0</v>
      </c>
      <c r="J20" s="363">
        <f t="shared" si="17"/>
        <v>0</v>
      </c>
      <c r="K20" s="363">
        <f t="shared" si="17"/>
        <v>0</v>
      </c>
      <c r="L20" s="363">
        <f t="shared" si="17"/>
        <v>0</v>
      </c>
      <c r="M20" s="362">
        <f>SUM(D20:L20)</f>
        <v>0</v>
      </c>
      <c r="N20" s="249"/>
      <c r="P20" s="331" t="s">
        <v>115</v>
      </c>
      <c r="Q20" s="374">
        <v>3</v>
      </c>
      <c r="R20" s="375" t="s">
        <v>116</v>
      </c>
    </row>
    <row r="21" spans="1:18" ht="18">
      <c r="A21" s="567">
        <v>21</v>
      </c>
      <c r="B21" s="254" t="s">
        <v>100</v>
      </c>
      <c r="C21" s="371">
        <f t="shared" ref="C21:L21" si="23">INT(C17*$Q$22/1000)</f>
        <v>0</v>
      </c>
      <c r="D21" s="372">
        <f t="shared" si="23"/>
        <v>0</v>
      </c>
      <c r="E21" s="372">
        <f t="shared" si="23"/>
        <v>0</v>
      </c>
      <c r="F21" s="372">
        <f t="shared" ref="F21:H21" si="24">INT(F17*$Q$22/1000)</f>
        <v>0</v>
      </c>
      <c r="G21" s="372">
        <f t="shared" si="24"/>
        <v>0</v>
      </c>
      <c r="H21" s="372">
        <f t="shared" si="24"/>
        <v>0</v>
      </c>
      <c r="I21" s="372">
        <f t="shared" ref="I21" si="25">INT(I17*$Q$22/1000)</f>
        <v>0</v>
      </c>
      <c r="J21" s="372">
        <f t="shared" si="23"/>
        <v>0</v>
      </c>
      <c r="K21" s="372">
        <f t="shared" si="23"/>
        <v>0</v>
      </c>
      <c r="L21" s="372">
        <f t="shared" si="23"/>
        <v>0</v>
      </c>
      <c r="M21" s="373">
        <f>SUM(D21:L21)</f>
        <v>0</v>
      </c>
      <c r="N21" s="249"/>
      <c r="P21" s="331" t="s">
        <v>115</v>
      </c>
      <c r="Q21" s="374">
        <v>5</v>
      </c>
      <c r="R21" s="375" t="s">
        <v>116</v>
      </c>
    </row>
    <row r="22" spans="1:18" ht="19" thickBot="1">
      <c r="A22" s="567">
        <v>22</v>
      </c>
      <c r="B22" s="256" t="s">
        <v>163</v>
      </c>
      <c r="C22" s="376">
        <f t="shared" ref="C22:D22" ca="1" si="26">SUM(C19:C21)</f>
        <v>0</v>
      </c>
      <c r="D22" s="377">
        <f t="shared" ca="1" si="26"/>
        <v>0</v>
      </c>
      <c r="E22" s="377">
        <f t="shared" ref="E22:M22" ca="1" si="27">SUM(E19:E21)</f>
        <v>0</v>
      </c>
      <c r="F22" s="377">
        <f t="shared" ref="F22:H22" ca="1" si="28">SUM(F19:F21)</f>
        <v>0</v>
      </c>
      <c r="G22" s="377">
        <f t="shared" ca="1" si="28"/>
        <v>0</v>
      </c>
      <c r="H22" s="377">
        <f t="shared" si="28"/>
        <v>0</v>
      </c>
      <c r="I22" s="377">
        <f t="shared" ref="I22" ca="1" si="29">SUM(I19:I21)</f>
        <v>0</v>
      </c>
      <c r="J22" s="377">
        <f t="shared" ca="1" si="27"/>
        <v>0</v>
      </c>
      <c r="K22" s="377">
        <f t="shared" si="27"/>
        <v>0</v>
      </c>
      <c r="L22" s="257">
        <f t="shared" si="27"/>
        <v>0</v>
      </c>
      <c r="M22" s="378">
        <f t="shared" ca="1" si="27"/>
        <v>0</v>
      </c>
      <c r="N22" s="249"/>
      <c r="P22" s="331" t="s">
        <v>115</v>
      </c>
      <c r="Q22" s="374">
        <v>4.5</v>
      </c>
      <c r="R22" s="375" t="s">
        <v>116</v>
      </c>
    </row>
    <row r="23" spans="1:18" ht="18">
      <c r="A23" s="567">
        <v>23</v>
      </c>
      <c r="B23" s="269" t="s">
        <v>150</v>
      </c>
      <c r="C23" s="379">
        <f t="shared" ref="C23:D23" ca="1" si="30">C17-C22</f>
        <v>0</v>
      </c>
      <c r="D23" s="380">
        <f t="shared" ca="1" si="30"/>
        <v>0</v>
      </c>
      <c r="E23" s="380">
        <f t="shared" ref="E23:L23" ca="1" si="31">E17-E22</f>
        <v>0</v>
      </c>
      <c r="F23" s="380">
        <f t="shared" ref="F23:H23" ca="1" si="32">F17-F22</f>
        <v>0</v>
      </c>
      <c r="G23" s="380">
        <f t="shared" ca="1" si="32"/>
        <v>0</v>
      </c>
      <c r="H23" s="380">
        <f t="shared" si="32"/>
        <v>0</v>
      </c>
      <c r="I23" s="380">
        <f t="shared" ref="I23" ca="1" si="33">I17-I22</f>
        <v>0</v>
      </c>
      <c r="J23" s="380">
        <f t="shared" ca="1" si="31"/>
        <v>0</v>
      </c>
      <c r="K23" s="380">
        <f t="shared" si="31"/>
        <v>0</v>
      </c>
      <c r="L23" s="380">
        <f t="shared" si="31"/>
        <v>0</v>
      </c>
      <c r="M23" s="381">
        <f ca="1">SUM(D23:L23)</f>
        <v>0</v>
      </c>
      <c r="N23" s="249"/>
      <c r="P23" s="331" t="s">
        <v>51</v>
      </c>
    </row>
    <row r="24" spans="1:18" ht="19" thickBot="1">
      <c r="A24" s="567">
        <v>24</v>
      </c>
      <c r="B24" s="272" t="s">
        <v>133</v>
      </c>
      <c r="C24" s="382">
        <f t="shared" ref="C24:D24" si="34">IF(C14=0,0,C64/100)</f>
        <v>0</v>
      </c>
      <c r="D24" s="383">
        <f t="shared" si="34"/>
        <v>0</v>
      </c>
      <c r="E24" s="383">
        <f t="shared" ref="E24:L24" si="35">IF(E14=0,0,E64/100)</f>
        <v>0</v>
      </c>
      <c r="F24" s="383">
        <f t="shared" ref="F24:H24" si="36">IF(F14=0,0,F64/100)</f>
        <v>0</v>
      </c>
      <c r="G24" s="383">
        <f t="shared" si="36"/>
        <v>0</v>
      </c>
      <c r="H24" s="383">
        <f t="shared" si="36"/>
        <v>0</v>
      </c>
      <c r="I24" s="383">
        <f t="shared" ref="I24" si="37">IF(I14=0,0,I64/100)</f>
        <v>0</v>
      </c>
      <c r="J24" s="383">
        <f t="shared" si="35"/>
        <v>0</v>
      </c>
      <c r="K24" s="383">
        <f t="shared" si="35"/>
        <v>0</v>
      </c>
      <c r="L24" s="383">
        <f t="shared" si="35"/>
        <v>0</v>
      </c>
      <c r="M24" s="384"/>
      <c r="N24" s="249"/>
      <c r="P24" s="331" t="s">
        <v>178</v>
      </c>
    </row>
    <row r="25" spans="1:18" ht="18">
      <c r="A25" s="567">
        <v>25</v>
      </c>
      <c r="B25" s="250" t="s">
        <v>15</v>
      </c>
      <c r="C25" s="385">
        <f ca="1">INT(C23/1000)*1000*C24</f>
        <v>0</v>
      </c>
      <c r="D25" s="385">
        <f t="shared" ref="D25" ca="1" si="38">INT(D23/1000)*1000*D24</f>
        <v>0</v>
      </c>
      <c r="E25" s="385">
        <f t="shared" ref="E25:L25" ca="1" si="39">INT(E23/1000)*1000*E24</f>
        <v>0</v>
      </c>
      <c r="F25" s="385">
        <f t="shared" ref="F25:H25" ca="1" si="40">INT(F23/1000)*1000*F24</f>
        <v>0</v>
      </c>
      <c r="G25" s="385">
        <f t="shared" ca="1" si="40"/>
        <v>0</v>
      </c>
      <c r="H25" s="385">
        <f t="shared" si="40"/>
        <v>0</v>
      </c>
      <c r="I25" s="385">
        <f t="shared" ref="I25" ca="1" si="41">INT(I23/1000)*1000*I24</f>
        <v>0</v>
      </c>
      <c r="J25" s="385">
        <f t="shared" ca="1" si="39"/>
        <v>0</v>
      </c>
      <c r="K25" s="385">
        <f t="shared" si="39"/>
        <v>0</v>
      </c>
      <c r="L25" s="385">
        <f t="shared" si="39"/>
        <v>0</v>
      </c>
      <c r="M25" s="360">
        <f ca="1">SUM(D25:L25)</f>
        <v>0</v>
      </c>
      <c r="N25" s="249"/>
      <c r="P25" s="386" t="s">
        <v>192</v>
      </c>
    </row>
    <row r="26" spans="1:18" ht="19" thickBot="1">
      <c r="A26" s="567">
        <v>26</v>
      </c>
      <c r="B26" s="262" t="s">
        <v>124</v>
      </c>
      <c r="C26" s="364">
        <f t="shared" ref="C26:D26" ca="1" si="42">C25+C22</f>
        <v>0</v>
      </c>
      <c r="D26" s="263">
        <f t="shared" ca="1" si="42"/>
        <v>0</v>
      </c>
      <c r="E26" s="263">
        <f t="shared" ref="E26:L26" ca="1" si="43">E25+E22</f>
        <v>0</v>
      </c>
      <c r="F26" s="263">
        <f t="shared" ref="F26:H26" ca="1" si="44">F25+F22</f>
        <v>0</v>
      </c>
      <c r="G26" s="263">
        <f t="shared" ca="1" si="44"/>
        <v>0</v>
      </c>
      <c r="H26" s="263">
        <f t="shared" si="44"/>
        <v>0</v>
      </c>
      <c r="I26" s="263">
        <f t="shared" ref="I26" ca="1" si="45">I25+I22</f>
        <v>0</v>
      </c>
      <c r="J26" s="263">
        <f t="shared" ca="1" si="43"/>
        <v>0</v>
      </c>
      <c r="K26" s="263">
        <f t="shared" si="43"/>
        <v>0</v>
      </c>
      <c r="L26" s="263">
        <f t="shared" si="43"/>
        <v>0</v>
      </c>
      <c r="M26" s="264">
        <f ca="1">SUM(M25:M25)+M22</f>
        <v>0</v>
      </c>
      <c r="N26" s="249"/>
      <c r="P26" s="331" t="s">
        <v>193</v>
      </c>
    </row>
    <row r="27" spans="1:18" ht="19" thickBot="1">
      <c r="A27" s="567"/>
      <c r="B27" s="279"/>
      <c r="C27" s="280"/>
      <c r="D27" s="280"/>
      <c r="E27" s="280"/>
      <c r="F27" s="280"/>
      <c r="G27" s="280"/>
      <c r="H27" s="280"/>
      <c r="I27" s="280"/>
      <c r="J27" s="280"/>
      <c r="K27" s="280"/>
      <c r="L27" s="249"/>
      <c r="M27" s="249"/>
      <c r="N27" s="249"/>
      <c r="P27" s="331" t="s">
        <v>204</v>
      </c>
    </row>
    <row r="28" spans="1:18" ht="19" thickBot="1">
      <c r="A28" s="567">
        <v>28</v>
      </c>
      <c r="B28" s="281" t="s">
        <v>165</v>
      </c>
      <c r="C28" s="387">
        <f t="shared" ref="C28:L28" ca="1" si="46">C17-C26</f>
        <v>0</v>
      </c>
      <c r="D28" s="388">
        <f t="shared" ca="1" si="46"/>
        <v>0</v>
      </c>
      <c r="E28" s="282">
        <f t="shared" ca="1" si="46"/>
        <v>0</v>
      </c>
      <c r="F28" s="282">
        <f t="shared" ref="F28:H28" ca="1" si="47">F17-F26</f>
        <v>0</v>
      </c>
      <c r="G28" s="282">
        <f t="shared" ca="1" si="47"/>
        <v>0</v>
      </c>
      <c r="H28" s="282">
        <f t="shared" si="47"/>
        <v>0</v>
      </c>
      <c r="I28" s="282">
        <f t="shared" ref="I28" ca="1" si="48">I17-I26</f>
        <v>0</v>
      </c>
      <c r="J28" s="282">
        <f t="shared" ca="1" si="46"/>
        <v>0</v>
      </c>
      <c r="K28" s="282">
        <f t="shared" si="46"/>
        <v>0</v>
      </c>
      <c r="L28" s="282">
        <f t="shared" si="46"/>
        <v>0</v>
      </c>
      <c r="M28" s="389">
        <f ca="1">INT(M17-M26)</f>
        <v>0</v>
      </c>
    </row>
    <row r="29" spans="1:18">
      <c r="P29" s="331" t="s">
        <v>269</v>
      </c>
    </row>
    <row r="30" spans="1:18">
      <c r="B30" s="573" t="s">
        <v>159</v>
      </c>
      <c r="C30" s="573" t="s">
        <v>159</v>
      </c>
      <c r="D30" s="573" t="s">
        <v>159</v>
      </c>
      <c r="E30" s="573" t="s">
        <v>159</v>
      </c>
      <c r="F30" s="573" t="s">
        <v>159</v>
      </c>
      <c r="G30" s="573" t="s">
        <v>159</v>
      </c>
      <c r="H30" s="573" t="s">
        <v>159</v>
      </c>
      <c r="I30" s="573" t="s">
        <v>159</v>
      </c>
      <c r="J30" s="573" t="s">
        <v>159</v>
      </c>
      <c r="K30" s="573" t="s">
        <v>159</v>
      </c>
      <c r="L30" s="573" t="s">
        <v>159</v>
      </c>
      <c r="M30" s="573" t="s">
        <v>159</v>
      </c>
      <c r="N30" s="390">
        <f ca="1">SUM(D28:L28)</f>
        <v>0</v>
      </c>
    </row>
    <row r="31" spans="1:18">
      <c r="C31" s="573">
        <f>給与計算!C1</f>
        <v>1</v>
      </c>
      <c r="D31" s="573">
        <f>給与計算!D1</f>
        <v>2</v>
      </c>
      <c r="E31" s="573">
        <f>給与計算!E1</f>
        <v>3</v>
      </c>
      <c r="F31" s="573">
        <f>給与計算!F1</f>
        <v>4</v>
      </c>
      <c r="G31" s="573">
        <f>給与計算!G1</f>
        <v>5</v>
      </c>
      <c r="H31" s="573">
        <f>給与計算!H1</f>
        <v>6</v>
      </c>
      <c r="I31" s="573">
        <f>給与計算!I1</f>
        <v>7</v>
      </c>
      <c r="J31" s="573">
        <f>給与計算!J1</f>
        <v>8</v>
      </c>
      <c r="K31" s="573">
        <f>給与計算!K1</f>
        <v>9</v>
      </c>
      <c r="L31" s="573">
        <f>給与計算!L1</f>
        <v>10</v>
      </c>
    </row>
    <row r="32" spans="1:18">
      <c r="N32" s="391"/>
      <c r="O32" s="390"/>
    </row>
    <row r="33" spans="2:15">
      <c r="B33" s="391" t="s">
        <v>258</v>
      </c>
      <c r="C33" s="391"/>
      <c r="D33" s="391"/>
      <c r="E33" s="391"/>
      <c r="F33" s="391"/>
      <c r="G33" s="391"/>
      <c r="H33" s="391"/>
      <c r="I33" s="391"/>
      <c r="J33" s="391"/>
      <c r="K33" s="391"/>
      <c r="L33" s="391"/>
      <c r="M33" s="391"/>
      <c r="N33" s="448">
        <f ca="1">B34*M34</f>
        <v>0</v>
      </c>
      <c r="O33" s="393"/>
    </row>
    <row r="34" spans="2:15">
      <c r="B34" s="392">
        <v>10000</v>
      </c>
      <c r="C34" s="392">
        <f t="shared" ref="C34:L34" ca="1" si="49">INT(C28/$B$34)</f>
        <v>0</v>
      </c>
      <c r="D34" s="392">
        <f t="shared" ca="1" si="49"/>
        <v>0</v>
      </c>
      <c r="E34" s="392">
        <f t="shared" ca="1" si="49"/>
        <v>0</v>
      </c>
      <c r="F34" s="392">
        <f t="shared" ca="1" si="49"/>
        <v>0</v>
      </c>
      <c r="G34" s="392">
        <f t="shared" ca="1" si="49"/>
        <v>0</v>
      </c>
      <c r="H34" s="392">
        <f t="shared" si="49"/>
        <v>0</v>
      </c>
      <c r="I34" s="392">
        <f t="shared" ca="1" si="49"/>
        <v>0</v>
      </c>
      <c r="J34" s="392">
        <f t="shared" ca="1" si="49"/>
        <v>0</v>
      </c>
      <c r="K34" s="392">
        <f t="shared" si="49"/>
        <v>0</v>
      </c>
      <c r="L34" s="392">
        <f t="shared" si="49"/>
        <v>0</v>
      </c>
      <c r="M34" s="392">
        <f ca="1">SUM(D34:L34)</f>
        <v>0</v>
      </c>
      <c r="N34" s="449"/>
      <c r="O34" s="393"/>
    </row>
    <row r="35" spans="2:15">
      <c r="B35" s="394"/>
      <c r="C35" s="394">
        <f t="shared" ref="C35:L35" ca="1" si="50">C28-$B$34*C34</f>
        <v>0</v>
      </c>
      <c r="D35" s="394">
        <f t="shared" ca="1" si="50"/>
        <v>0</v>
      </c>
      <c r="E35" s="394">
        <f t="shared" ca="1" si="50"/>
        <v>0</v>
      </c>
      <c r="F35" s="394">
        <f t="shared" ca="1" si="50"/>
        <v>0</v>
      </c>
      <c r="G35" s="394">
        <f t="shared" ca="1" si="50"/>
        <v>0</v>
      </c>
      <c r="H35" s="394">
        <f t="shared" si="50"/>
        <v>0</v>
      </c>
      <c r="I35" s="394">
        <f t="shared" ca="1" si="50"/>
        <v>0</v>
      </c>
      <c r="J35" s="394">
        <f t="shared" ca="1" si="50"/>
        <v>0</v>
      </c>
      <c r="K35" s="394">
        <f t="shared" si="50"/>
        <v>0</v>
      </c>
      <c r="L35" s="394">
        <f t="shared" si="50"/>
        <v>0</v>
      </c>
      <c r="M35" s="394"/>
      <c r="N35" s="450">
        <f ca="1">B36*M36</f>
        <v>0</v>
      </c>
      <c r="O35" s="393"/>
    </row>
    <row r="36" spans="2:15">
      <c r="B36" s="395">
        <v>5000</v>
      </c>
      <c r="C36" s="395">
        <f t="shared" ref="C36:L36" ca="1" si="51">INT(C35/$B36)</f>
        <v>0</v>
      </c>
      <c r="D36" s="395">
        <f t="shared" ca="1" si="51"/>
        <v>0</v>
      </c>
      <c r="E36" s="395">
        <f t="shared" ca="1" si="51"/>
        <v>0</v>
      </c>
      <c r="F36" s="395">
        <f t="shared" ca="1" si="51"/>
        <v>0</v>
      </c>
      <c r="G36" s="395">
        <f t="shared" ca="1" si="51"/>
        <v>0</v>
      </c>
      <c r="H36" s="395">
        <f t="shared" si="51"/>
        <v>0</v>
      </c>
      <c r="I36" s="395">
        <f t="shared" ca="1" si="51"/>
        <v>0</v>
      </c>
      <c r="J36" s="395">
        <f t="shared" ca="1" si="51"/>
        <v>0</v>
      </c>
      <c r="K36" s="395">
        <f t="shared" si="51"/>
        <v>0</v>
      </c>
      <c r="L36" s="395">
        <f t="shared" si="51"/>
        <v>0</v>
      </c>
      <c r="M36" s="395">
        <f ca="1">SUM(D36:L36)</f>
        <v>0</v>
      </c>
      <c r="N36" s="449"/>
      <c r="O36" s="393"/>
    </row>
    <row r="37" spans="2:15">
      <c r="B37" s="394"/>
      <c r="C37" s="394">
        <f t="shared" ref="C37:L37" ca="1" si="52">C35-$B36*C36</f>
        <v>0</v>
      </c>
      <c r="D37" s="394">
        <f t="shared" ca="1" si="52"/>
        <v>0</v>
      </c>
      <c r="E37" s="394">
        <f t="shared" ca="1" si="52"/>
        <v>0</v>
      </c>
      <c r="F37" s="394">
        <f t="shared" ca="1" si="52"/>
        <v>0</v>
      </c>
      <c r="G37" s="394">
        <f t="shared" ca="1" si="52"/>
        <v>0</v>
      </c>
      <c r="H37" s="394">
        <f t="shared" si="52"/>
        <v>0</v>
      </c>
      <c r="I37" s="394">
        <f t="shared" ca="1" si="52"/>
        <v>0</v>
      </c>
      <c r="J37" s="394">
        <f t="shared" ca="1" si="52"/>
        <v>0</v>
      </c>
      <c r="K37" s="394">
        <f t="shared" si="52"/>
        <v>0</v>
      </c>
      <c r="L37" s="394">
        <f t="shared" si="52"/>
        <v>0</v>
      </c>
      <c r="M37" s="394"/>
      <c r="N37" s="450">
        <f ca="1">B38*M38</f>
        <v>0</v>
      </c>
      <c r="O37" s="393"/>
    </row>
    <row r="38" spans="2:15">
      <c r="B38" s="395">
        <v>2000</v>
      </c>
      <c r="C38" s="395">
        <f t="shared" ref="C38:L38" ca="1" si="53">INT(C37/$B38)</f>
        <v>0</v>
      </c>
      <c r="D38" s="395">
        <f t="shared" ca="1" si="53"/>
        <v>0</v>
      </c>
      <c r="E38" s="395">
        <f t="shared" ca="1" si="53"/>
        <v>0</v>
      </c>
      <c r="F38" s="395">
        <f t="shared" ca="1" si="53"/>
        <v>0</v>
      </c>
      <c r="G38" s="395">
        <f t="shared" ca="1" si="53"/>
        <v>0</v>
      </c>
      <c r="H38" s="395">
        <f t="shared" si="53"/>
        <v>0</v>
      </c>
      <c r="I38" s="395">
        <f t="shared" ca="1" si="53"/>
        <v>0</v>
      </c>
      <c r="J38" s="395">
        <f t="shared" ca="1" si="53"/>
        <v>0</v>
      </c>
      <c r="K38" s="395">
        <f t="shared" si="53"/>
        <v>0</v>
      </c>
      <c r="L38" s="395">
        <f t="shared" si="53"/>
        <v>0</v>
      </c>
      <c r="M38" s="395">
        <f ca="1">SUM(D38:L38)</f>
        <v>0</v>
      </c>
      <c r="N38" s="449"/>
      <c r="O38" s="393"/>
    </row>
    <row r="39" spans="2:15">
      <c r="B39" s="394"/>
      <c r="C39" s="394">
        <f t="shared" ref="C39:L39" ca="1" si="54">C37-$B38*C38</f>
        <v>0</v>
      </c>
      <c r="D39" s="394">
        <f t="shared" ca="1" si="54"/>
        <v>0</v>
      </c>
      <c r="E39" s="394">
        <f t="shared" ca="1" si="54"/>
        <v>0</v>
      </c>
      <c r="F39" s="394">
        <f t="shared" ca="1" si="54"/>
        <v>0</v>
      </c>
      <c r="G39" s="394">
        <f t="shared" ca="1" si="54"/>
        <v>0</v>
      </c>
      <c r="H39" s="394">
        <f t="shared" si="54"/>
        <v>0</v>
      </c>
      <c r="I39" s="394">
        <f t="shared" ca="1" si="54"/>
        <v>0</v>
      </c>
      <c r="J39" s="394">
        <f t="shared" ca="1" si="54"/>
        <v>0</v>
      </c>
      <c r="K39" s="394">
        <f t="shared" si="54"/>
        <v>0</v>
      </c>
      <c r="L39" s="394">
        <f t="shared" si="54"/>
        <v>0</v>
      </c>
      <c r="M39" s="394"/>
      <c r="N39" s="450">
        <f ca="1">B40*M40</f>
        <v>0</v>
      </c>
      <c r="O39" s="393"/>
    </row>
    <row r="40" spans="2:15">
      <c r="B40" s="395">
        <v>1000</v>
      </c>
      <c r="C40" s="395">
        <f t="shared" ref="C40:L40" ca="1" si="55">INT(C39/$B40)</f>
        <v>0</v>
      </c>
      <c r="D40" s="395">
        <f t="shared" ca="1" si="55"/>
        <v>0</v>
      </c>
      <c r="E40" s="395">
        <f t="shared" ca="1" si="55"/>
        <v>0</v>
      </c>
      <c r="F40" s="395">
        <f t="shared" ca="1" si="55"/>
        <v>0</v>
      </c>
      <c r="G40" s="395">
        <f t="shared" ca="1" si="55"/>
        <v>0</v>
      </c>
      <c r="H40" s="395">
        <f t="shared" si="55"/>
        <v>0</v>
      </c>
      <c r="I40" s="395">
        <f t="shared" ca="1" si="55"/>
        <v>0</v>
      </c>
      <c r="J40" s="395">
        <f t="shared" ca="1" si="55"/>
        <v>0</v>
      </c>
      <c r="K40" s="395">
        <f t="shared" si="55"/>
        <v>0</v>
      </c>
      <c r="L40" s="395">
        <f t="shared" si="55"/>
        <v>0</v>
      </c>
      <c r="M40" s="395">
        <f ca="1">SUM(D40:L40)</f>
        <v>0</v>
      </c>
      <c r="N40" s="449"/>
      <c r="O40" s="393"/>
    </row>
    <row r="41" spans="2:15">
      <c r="B41" s="394"/>
      <c r="C41" s="394">
        <f t="shared" ref="C41:L41" ca="1" si="56">C39-$B40*C40</f>
        <v>0</v>
      </c>
      <c r="D41" s="394">
        <f t="shared" ca="1" si="56"/>
        <v>0</v>
      </c>
      <c r="E41" s="394">
        <f t="shared" ca="1" si="56"/>
        <v>0</v>
      </c>
      <c r="F41" s="394">
        <f t="shared" ca="1" si="56"/>
        <v>0</v>
      </c>
      <c r="G41" s="394">
        <f t="shared" ca="1" si="56"/>
        <v>0</v>
      </c>
      <c r="H41" s="394">
        <f t="shared" si="56"/>
        <v>0</v>
      </c>
      <c r="I41" s="394">
        <f t="shared" ca="1" si="56"/>
        <v>0</v>
      </c>
      <c r="J41" s="394">
        <f t="shared" ca="1" si="56"/>
        <v>0</v>
      </c>
      <c r="K41" s="394">
        <f t="shared" si="56"/>
        <v>0</v>
      </c>
      <c r="L41" s="394">
        <f t="shared" si="56"/>
        <v>0</v>
      </c>
      <c r="M41" s="394"/>
      <c r="N41" s="450">
        <f ca="1">B42*M42</f>
        <v>0</v>
      </c>
      <c r="O41" s="393"/>
    </row>
    <row r="42" spans="2:15">
      <c r="B42" s="395">
        <v>500</v>
      </c>
      <c r="C42" s="395">
        <f t="shared" ref="C42:L42" ca="1" si="57">INT(C41/$B42)</f>
        <v>0</v>
      </c>
      <c r="D42" s="395">
        <f t="shared" ca="1" si="57"/>
        <v>0</v>
      </c>
      <c r="E42" s="395">
        <f t="shared" ca="1" si="57"/>
        <v>0</v>
      </c>
      <c r="F42" s="395">
        <f t="shared" ca="1" si="57"/>
        <v>0</v>
      </c>
      <c r="G42" s="395">
        <f t="shared" ca="1" si="57"/>
        <v>0</v>
      </c>
      <c r="H42" s="395">
        <f t="shared" si="57"/>
        <v>0</v>
      </c>
      <c r="I42" s="395">
        <f t="shared" ca="1" si="57"/>
        <v>0</v>
      </c>
      <c r="J42" s="395">
        <f t="shared" ca="1" si="57"/>
        <v>0</v>
      </c>
      <c r="K42" s="395">
        <f t="shared" si="57"/>
        <v>0</v>
      </c>
      <c r="L42" s="395">
        <f t="shared" si="57"/>
        <v>0</v>
      </c>
      <c r="M42" s="395">
        <f ca="1">SUM(D42:L42)</f>
        <v>0</v>
      </c>
      <c r="N42" s="449"/>
      <c r="O42" s="393"/>
    </row>
    <row r="43" spans="2:15">
      <c r="B43" s="394"/>
      <c r="C43" s="394">
        <f t="shared" ref="C43:L43" ca="1" si="58">C41-$B42*C42</f>
        <v>0</v>
      </c>
      <c r="D43" s="394">
        <f t="shared" ca="1" si="58"/>
        <v>0</v>
      </c>
      <c r="E43" s="394">
        <f t="shared" ca="1" si="58"/>
        <v>0</v>
      </c>
      <c r="F43" s="394">
        <f t="shared" ca="1" si="58"/>
        <v>0</v>
      </c>
      <c r="G43" s="394">
        <f t="shared" ca="1" si="58"/>
        <v>0</v>
      </c>
      <c r="H43" s="394">
        <f t="shared" si="58"/>
        <v>0</v>
      </c>
      <c r="I43" s="394">
        <f t="shared" ca="1" si="58"/>
        <v>0</v>
      </c>
      <c r="J43" s="394">
        <f t="shared" ca="1" si="58"/>
        <v>0</v>
      </c>
      <c r="K43" s="394">
        <f t="shared" si="58"/>
        <v>0</v>
      </c>
      <c r="L43" s="394">
        <f t="shared" si="58"/>
        <v>0</v>
      </c>
      <c r="M43" s="394"/>
      <c r="N43" s="450">
        <f ca="1">B44*M44</f>
        <v>0</v>
      </c>
      <c r="O43" s="393"/>
    </row>
    <row r="44" spans="2:15">
      <c r="B44" s="395">
        <v>100</v>
      </c>
      <c r="C44" s="395">
        <f t="shared" ref="C44:L44" ca="1" si="59">INT(C43/$B44)</f>
        <v>0</v>
      </c>
      <c r="D44" s="395">
        <f t="shared" ca="1" si="59"/>
        <v>0</v>
      </c>
      <c r="E44" s="395">
        <f t="shared" ca="1" si="59"/>
        <v>0</v>
      </c>
      <c r="F44" s="395">
        <f t="shared" ca="1" si="59"/>
        <v>0</v>
      </c>
      <c r="G44" s="395">
        <f t="shared" ca="1" si="59"/>
        <v>0</v>
      </c>
      <c r="H44" s="395">
        <f t="shared" si="59"/>
        <v>0</v>
      </c>
      <c r="I44" s="395">
        <f t="shared" ca="1" si="59"/>
        <v>0</v>
      </c>
      <c r="J44" s="395">
        <f t="shared" ca="1" si="59"/>
        <v>0</v>
      </c>
      <c r="K44" s="395">
        <f t="shared" si="59"/>
        <v>0</v>
      </c>
      <c r="L44" s="395">
        <f t="shared" si="59"/>
        <v>0</v>
      </c>
      <c r="M44" s="395">
        <f ca="1">SUM(D44:L44)</f>
        <v>0</v>
      </c>
      <c r="N44" s="449"/>
      <c r="O44" s="393"/>
    </row>
    <row r="45" spans="2:15">
      <c r="B45" s="394"/>
      <c r="C45" s="394">
        <f t="shared" ref="C45:L45" ca="1" si="60">C43-$B44*C44</f>
        <v>0</v>
      </c>
      <c r="D45" s="394">
        <f t="shared" ca="1" si="60"/>
        <v>0</v>
      </c>
      <c r="E45" s="394">
        <f t="shared" ca="1" si="60"/>
        <v>0</v>
      </c>
      <c r="F45" s="394">
        <f t="shared" ca="1" si="60"/>
        <v>0</v>
      </c>
      <c r="G45" s="394">
        <f t="shared" ca="1" si="60"/>
        <v>0</v>
      </c>
      <c r="H45" s="394">
        <f t="shared" si="60"/>
        <v>0</v>
      </c>
      <c r="I45" s="394">
        <f t="shared" ca="1" si="60"/>
        <v>0</v>
      </c>
      <c r="J45" s="394">
        <f t="shared" ca="1" si="60"/>
        <v>0</v>
      </c>
      <c r="K45" s="394">
        <f t="shared" si="60"/>
        <v>0</v>
      </c>
      <c r="L45" s="394">
        <f t="shared" si="60"/>
        <v>0</v>
      </c>
      <c r="M45" s="394"/>
      <c r="N45" s="450">
        <f ca="1">B46*M46</f>
        <v>0</v>
      </c>
      <c r="O45" s="393"/>
    </row>
    <row r="46" spans="2:15">
      <c r="B46" s="395">
        <v>50</v>
      </c>
      <c r="C46" s="395">
        <f t="shared" ref="C46:L46" ca="1" si="61">INT(C45/$B46)</f>
        <v>0</v>
      </c>
      <c r="D46" s="395">
        <f t="shared" ca="1" si="61"/>
        <v>0</v>
      </c>
      <c r="E46" s="395">
        <f t="shared" ca="1" si="61"/>
        <v>0</v>
      </c>
      <c r="F46" s="395">
        <f t="shared" ca="1" si="61"/>
        <v>0</v>
      </c>
      <c r="G46" s="395">
        <f t="shared" ca="1" si="61"/>
        <v>0</v>
      </c>
      <c r="H46" s="395">
        <f t="shared" si="61"/>
        <v>0</v>
      </c>
      <c r="I46" s="395">
        <f t="shared" ca="1" si="61"/>
        <v>0</v>
      </c>
      <c r="J46" s="395">
        <f t="shared" ca="1" si="61"/>
        <v>0</v>
      </c>
      <c r="K46" s="395">
        <f t="shared" si="61"/>
        <v>0</v>
      </c>
      <c r="L46" s="395">
        <f t="shared" si="61"/>
        <v>0</v>
      </c>
      <c r="M46" s="395">
        <f ca="1">SUM(D46:L46)</f>
        <v>0</v>
      </c>
      <c r="N46" s="449"/>
      <c r="O46" s="393"/>
    </row>
    <row r="47" spans="2:15">
      <c r="B47" s="394"/>
      <c r="C47" s="394">
        <f t="shared" ref="C47:L47" ca="1" si="62">C45-$B46*C46</f>
        <v>0</v>
      </c>
      <c r="D47" s="394">
        <f t="shared" ca="1" si="62"/>
        <v>0</v>
      </c>
      <c r="E47" s="394">
        <f t="shared" ca="1" si="62"/>
        <v>0</v>
      </c>
      <c r="F47" s="394">
        <f t="shared" ca="1" si="62"/>
        <v>0</v>
      </c>
      <c r="G47" s="394">
        <f t="shared" ca="1" si="62"/>
        <v>0</v>
      </c>
      <c r="H47" s="394">
        <f t="shared" si="62"/>
        <v>0</v>
      </c>
      <c r="I47" s="394">
        <f t="shared" ca="1" si="62"/>
        <v>0</v>
      </c>
      <c r="J47" s="394">
        <f t="shared" ca="1" si="62"/>
        <v>0</v>
      </c>
      <c r="K47" s="394">
        <f t="shared" si="62"/>
        <v>0</v>
      </c>
      <c r="L47" s="394">
        <f t="shared" si="62"/>
        <v>0</v>
      </c>
      <c r="M47" s="394"/>
      <c r="N47" s="450">
        <f ca="1">B48*M48</f>
        <v>0</v>
      </c>
      <c r="O47" s="393"/>
    </row>
    <row r="48" spans="2:15">
      <c r="B48" s="395">
        <v>10</v>
      </c>
      <c r="C48" s="395">
        <f t="shared" ref="C48:L48" ca="1" si="63">INT(C47/$B48)</f>
        <v>0</v>
      </c>
      <c r="D48" s="395">
        <f t="shared" ca="1" si="63"/>
        <v>0</v>
      </c>
      <c r="E48" s="395">
        <f t="shared" ca="1" si="63"/>
        <v>0</v>
      </c>
      <c r="F48" s="395">
        <f t="shared" ca="1" si="63"/>
        <v>0</v>
      </c>
      <c r="G48" s="395">
        <f t="shared" ca="1" si="63"/>
        <v>0</v>
      </c>
      <c r="H48" s="395">
        <f t="shared" si="63"/>
        <v>0</v>
      </c>
      <c r="I48" s="395">
        <f t="shared" ca="1" si="63"/>
        <v>0</v>
      </c>
      <c r="J48" s="395">
        <f t="shared" ca="1" si="63"/>
        <v>0</v>
      </c>
      <c r="K48" s="395">
        <f t="shared" si="63"/>
        <v>0</v>
      </c>
      <c r="L48" s="395">
        <f t="shared" si="63"/>
        <v>0</v>
      </c>
      <c r="M48" s="395">
        <f ca="1">SUM(D48:L48)</f>
        <v>0</v>
      </c>
      <c r="N48" s="449"/>
      <c r="O48" s="393"/>
    </row>
    <row r="49" spans="2:18">
      <c r="B49" s="394"/>
      <c r="C49" s="394">
        <f t="shared" ref="C49:L49" ca="1" si="64">C47-$B48*C48</f>
        <v>0</v>
      </c>
      <c r="D49" s="394">
        <f t="shared" ca="1" si="64"/>
        <v>0</v>
      </c>
      <c r="E49" s="394">
        <f t="shared" ca="1" si="64"/>
        <v>0</v>
      </c>
      <c r="F49" s="394">
        <f t="shared" ca="1" si="64"/>
        <v>0</v>
      </c>
      <c r="G49" s="394">
        <f t="shared" ca="1" si="64"/>
        <v>0</v>
      </c>
      <c r="H49" s="394">
        <f t="shared" si="64"/>
        <v>0</v>
      </c>
      <c r="I49" s="394">
        <f t="shared" ca="1" si="64"/>
        <v>0</v>
      </c>
      <c r="J49" s="394">
        <f t="shared" ca="1" si="64"/>
        <v>0</v>
      </c>
      <c r="K49" s="394">
        <f t="shared" si="64"/>
        <v>0</v>
      </c>
      <c r="L49" s="394">
        <f t="shared" si="64"/>
        <v>0</v>
      </c>
      <c r="M49" s="394"/>
      <c r="N49" s="450">
        <f ca="1">B50*M50</f>
        <v>0</v>
      </c>
      <c r="O49" s="393"/>
    </row>
    <row r="50" spans="2:18">
      <c r="B50" s="395">
        <v>5</v>
      </c>
      <c r="C50" s="395">
        <f t="shared" ref="C50:L50" ca="1" si="65">INT(C49/$B50)</f>
        <v>0</v>
      </c>
      <c r="D50" s="395">
        <f t="shared" ca="1" si="65"/>
        <v>0</v>
      </c>
      <c r="E50" s="395">
        <f t="shared" ca="1" si="65"/>
        <v>0</v>
      </c>
      <c r="F50" s="395">
        <f t="shared" ca="1" si="65"/>
        <v>0</v>
      </c>
      <c r="G50" s="395">
        <f t="shared" ca="1" si="65"/>
        <v>0</v>
      </c>
      <c r="H50" s="395">
        <f t="shared" si="65"/>
        <v>0</v>
      </c>
      <c r="I50" s="395">
        <f t="shared" ca="1" si="65"/>
        <v>0</v>
      </c>
      <c r="J50" s="395">
        <f t="shared" ca="1" si="65"/>
        <v>0</v>
      </c>
      <c r="K50" s="395">
        <f t="shared" si="65"/>
        <v>0</v>
      </c>
      <c r="L50" s="395">
        <f t="shared" si="65"/>
        <v>0</v>
      </c>
      <c r="M50" s="395">
        <f ca="1">SUM(D50:L50)</f>
        <v>0</v>
      </c>
      <c r="N50" s="449"/>
      <c r="O50" s="393"/>
    </row>
    <row r="51" spans="2:18">
      <c r="B51" s="394"/>
      <c r="C51" s="394">
        <f t="shared" ref="C51:L51" ca="1" si="66">C49-$B50*C50</f>
        <v>0</v>
      </c>
      <c r="D51" s="394">
        <f t="shared" ca="1" si="66"/>
        <v>0</v>
      </c>
      <c r="E51" s="394">
        <f t="shared" ca="1" si="66"/>
        <v>0</v>
      </c>
      <c r="F51" s="394">
        <f t="shared" ca="1" si="66"/>
        <v>0</v>
      </c>
      <c r="G51" s="394">
        <f t="shared" ca="1" si="66"/>
        <v>0</v>
      </c>
      <c r="H51" s="394">
        <f t="shared" si="66"/>
        <v>0</v>
      </c>
      <c r="I51" s="394">
        <f t="shared" ca="1" si="66"/>
        <v>0</v>
      </c>
      <c r="J51" s="394">
        <f t="shared" ca="1" si="66"/>
        <v>0</v>
      </c>
      <c r="K51" s="394">
        <f t="shared" si="66"/>
        <v>0</v>
      </c>
      <c r="L51" s="394">
        <f t="shared" si="66"/>
        <v>0</v>
      </c>
      <c r="M51" s="394"/>
      <c r="N51" s="450">
        <f ca="1">B52*M52</f>
        <v>0</v>
      </c>
      <c r="O51" s="393"/>
    </row>
    <row r="52" spans="2:18">
      <c r="B52" s="395">
        <v>1</v>
      </c>
      <c r="C52" s="395">
        <f t="shared" ref="C52:L52" ca="1" si="67">INT(C51/$B52)</f>
        <v>0</v>
      </c>
      <c r="D52" s="395">
        <f t="shared" ca="1" si="67"/>
        <v>0</v>
      </c>
      <c r="E52" s="395">
        <f t="shared" ca="1" si="67"/>
        <v>0</v>
      </c>
      <c r="F52" s="395">
        <f t="shared" ca="1" si="67"/>
        <v>0</v>
      </c>
      <c r="G52" s="395">
        <f t="shared" ca="1" si="67"/>
        <v>0</v>
      </c>
      <c r="H52" s="395">
        <f t="shared" si="67"/>
        <v>0</v>
      </c>
      <c r="I52" s="395">
        <f t="shared" ca="1" si="67"/>
        <v>0</v>
      </c>
      <c r="J52" s="395">
        <f t="shared" ca="1" si="67"/>
        <v>0</v>
      </c>
      <c r="K52" s="395">
        <f t="shared" si="67"/>
        <v>0</v>
      </c>
      <c r="L52" s="395">
        <f t="shared" si="67"/>
        <v>0</v>
      </c>
      <c r="M52" s="395">
        <f ca="1">SUM(D52:L52)</f>
        <v>0</v>
      </c>
      <c r="N52" s="449"/>
      <c r="O52" s="393"/>
    </row>
    <row r="53" spans="2:18">
      <c r="B53" s="394"/>
      <c r="C53" s="396">
        <f t="shared" ref="C53:L53" ca="1" si="68">C51-$B52*C52</f>
        <v>0</v>
      </c>
      <c r="D53" s="396">
        <f t="shared" ca="1" si="68"/>
        <v>0</v>
      </c>
      <c r="E53" s="396">
        <f t="shared" ca="1" si="68"/>
        <v>0</v>
      </c>
      <c r="F53" s="396">
        <f t="shared" ca="1" si="68"/>
        <v>0</v>
      </c>
      <c r="G53" s="396">
        <f t="shared" ca="1" si="68"/>
        <v>0</v>
      </c>
      <c r="H53" s="396">
        <f t="shared" si="68"/>
        <v>0</v>
      </c>
      <c r="I53" s="396">
        <f t="shared" ca="1" si="68"/>
        <v>0</v>
      </c>
      <c r="J53" s="396">
        <f t="shared" ca="1" si="68"/>
        <v>0</v>
      </c>
      <c r="K53" s="396">
        <f t="shared" si="68"/>
        <v>0</v>
      </c>
      <c r="L53" s="396">
        <f t="shared" si="68"/>
        <v>0</v>
      </c>
      <c r="M53" s="394"/>
      <c r="N53" s="398">
        <f ca="1">SUM(N33:N51)</f>
        <v>0</v>
      </c>
      <c r="O53" s="393"/>
    </row>
    <row r="54" spans="2:18">
      <c r="B54" s="393"/>
      <c r="C54" s="393"/>
      <c r="D54" s="393"/>
      <c r="E54" s="393"/>
      <c r="F54" s="393"/>
      <c r="G54" s="393"/>
      <c r="H54" s="393"/>
      <c r="I54" s="393"/>
      <c r="J54" s="393"/>
      <c r="K54" s="393"/>
      <c r="L54" s="393"/>
      <c r="M54" s="397" t="str">
        <f ca="1">IF(N53=N30,"OK","NO")</f>
        <v>OK</v>
      </c>
      <c r="N54" s="393"/>
      <c r="O54" s="393"/>
    </row>
    <row r="55" spans="2:18">
      <c r="B55" s="393"/>
      <c r="C55" s="393"/>
      <c r="D55" s="393"/>
      <c r="E55" s="393"/>
      <c r="F55" s="393"/>
      <c r="G55" s="393"/>
      <c r="H55" s="393"/>
      <c r="I55" s="393"/>
      <c r="J55" s="393"/>
      <c r="K55" s="393"/>
      <c r="L55" s="393"/>
      <c r="M55" s="393"/>
      <c r="O55" s="398"/>
    </row>
    <row r="56" spans="2:18">
      <c r="B56" s="331" t="s">
        <v>183</v>
      </c>
      <c r="E56" s="399" t="s">
        <v>162</v>
      </c>
      <c r="F56" s="399"/>
      <c r="G56" s="399"/>
      <c r="H56" s="399"/>
      <c r="I56" s="399"/>
      <c r="J56" s="399"/>
      <c r="K56" s="399"/>
      <c r="Q56" s="331" t="s">
        <v>54</v>
      </c>
      <c r="R56" s="403">
        <f>保険料額表!G5</f>
        <v>4.965E-2</v>
      </c>
    </row>
    <row r="57" spans="2:18">
      <c r="B57" s="400" t="s">
        <v>146</v>
      </c>
      <c r="C57" s="401">
        <f t="shared" ref="C57:L57" si="69">INT(C17/1000)*1000</f>
        <v>0</v>
      </c>
      <c r="D57" s="401">
        <f t="shared" si="69"/>
        <v>0</v>
      </c>
      <c r="E57" s="401">
        <f t="shared" si="69"/>
        <v>0</v>
      </c>
      <c r="F57" s="401">
        <f t="shared" ref="F57:H57" si="70">INT(F17/1000)*1000</f>
        <v>0</v>
      </c>
      <c r="G57" s="401">
        <f t="shared" si="70"/>
        <v>0</v>
      </c>
      <c r="H57" s="401">
        <f t="shared" si="70"/>
        <v>0</v>
      </c>
      <c r="I57" s="401">
        <f t="shared" ref="I57" si="71">INT(I17/1000)*1000</f>
        <v>0</v>
      </c>
      <c r="J57" s="401">
        <f t="shared" si="69"/>
        <v>0</v>
      </c>
      <c r="K57" s="401">
        <f t="shared" si="69"/>
        <v>0</v>
      </c>
      <c r="L57" s="401">
        <f t="shared" si="69"/>
        <v>0</v>
      </c>
      <c r="M57" s="402">
        <f>SUM(D57:L57)</f>
        <v>0</v>
      </c>
      <c r="Q57" s="331" t="s">
        <v>55</v>
      </c>
      <c r="R57" s="403">
        <f>保険料額表!H5</f>
        <v>5.7549999999999997E-2</v>
      </c>
    </row>
    <row r="58" spans="2:18" ht="15" customHeight="1">
      <c r="B58" s="400" t="s">
        <v>215</v>
      </c>
      <c r="C58" s="401">
        <f ca="1">INT(C57/1000)*1000*IF(給与計算!C67=0,$R$56,$R$57)</f>
        <v>0</v>
      </c>
      <c r="D58" s="401">
        <f ca="1">INT(D57/1000)*1000*IF(給与計算!D67=0,$R$56,$R$57)</f>
        <v>0</v>
      </c>
      <c r="E58" s="401">
        <f ca="1">INT(E57/1000)*1000*IF(給与計算!E67=0,$R$56,$R$57)</f>
        <v>0</v>
      </c>
      <c r="F58" s="401">
        <f ca="1">INT(F57/1000)*1000*IF(給与計算!F67=0,$R$56,$R$57)</f>
        <v>0</v>
      </c>
      <c r="G58" s="401">
        <f ca="1">INT(G57/1000)*1000*IF(給与計算!G67=0,$R$56,$R$57)</f>
        <v>0</v>
      </c>
      <c r="H58" s="401">
        <f>INT(H57/1000)*1000*IF(給与計算!H67=0,$R$56,$R$57)</f>
        <v>0</v>
      </c>
      <c r="I58" s="401">
        <f ca="1">INT(I57/1000)*1000*IF(給与計算!E67=0,$R$56,$R$57)</f>
        <v>0</v>
      </c>
      <c r="J58" s="401">
        <f ca="1">INT(J57/1000)*1000*IF(給与計算!F67=0,$R$56,$R$57)</f>
        <v>0</v>
      </c>
      <c r="K58" s="401">
        <f>INT(K57/1000)*1000*IF(給与計算!I67=0,$R$56,$R$57)</f>
        <v>0</v>
      </c>
      <c r="L58" s="401">
        <f>INT(L57/1000)*1000*IF(給与計算!L67=0,$R$56,$R$57)</f>
        <v>0</v>
      </c>
      <c r="M58" s="402">
        <f>INT(M57*$R$59)</f>
        <v>0</v>
      </c>
      <c r="Q58" s="331" t="s">
        <v>218</v>
      </c>
      <c r="R58" s="403">
        <f>保険料額表!I5</f>
        <v>8.7370000000000003E-2</v>
      </c>
    </row>
    <row r="59" spans="2:18">
      <c r="B59" s="400" t="s">
        <v>13</v>
      </c>
      <c r="C59" s="401">
        <f t="shared" ref="C59:L59" si="72">INT(C57/1000)*1000*$R$58</f>
        <v>0</v>
      </c>
      <c r="D59" s="401">
        <f t="shared" si="72"/>
        <v>0</v>
      </c>
      <c r="E59" s="401">
        <f t="shared" si="72"/>
        <v>0</v>
      </c>
      <c r="F59" s="401">
        <f t="shared" si="72"/>
        <v>0</v>
      </c>
      <c r="G59" s="401">
        <f t="shared" si="72"/>
        <v>0</v>
      </c>
      <c r="H59" s="401">
        <f t="shared" si="72"/>
        <v>0</v>
      </c>
      <c r="I59" s="401">
        <f t="shared" si="72"/>
        <v>0</v>
      </c>
      <c r="J59" s="401">
        <f t="shared" si="72"/>
        <v>0</v>
      </c>
      <c r="K59" s="401">
        <f t="shared" si="72"/>
        <v>0</v>
      </c>
      <c r="L59" s="401">
        <f t="shared" si="72"/>
        <v>0</v>
      </c>
      <c r="M59" s="402">
        <f>INT(M57*$R$60)</f>
        <v>0</v>
      </c>
      <c r="Q59" s="331" t="s">
        <v>115</v>
      </c>
      <c r="R59" s="404">
        <v>8.0000000000000002E-3</v>
      </c>
    </row>
    <row r="60" spans="2:18">
      <c r="Q60" s="331" t="s">
        <v>115</v>
      </c>
      <c r="R60" s="404">
        <v>0.01</v>
      </c>
    </row>
    <row r="61" spans="2:18">
      <c r="B61" s="331" t="s">
        <v>177</v>
      </c>
      <c r="E61" s="399" t="s">
        <v>229</v>
      </c>
      <c r="F61" s="399"/>
      <c r="G61" s="399"/>
      <c r="H61" s="399"/>
      <c r="I61" s="399"/>
      <c r="J61" s="399"/>
      <c r="K61" s="399"/>
    </row>
    <row r="62" spans="2:18">
      <c r="B62" s="400" t="s">
        <v>151</v>
      </c>
      <c r="C62" s="405">
        <f>給与計算!C21</f>
        <v>0</v>
      </c>
      <c r="D62" s="405">
        <f>給与計算!D21</f>
        <v>0</v>
      </c>
      <c r="E62" s="405">
        <f>給与計算!E21</f>
        <v>0</v>
      </c>
      <c r="F62" s="405">
        <f>給与計算!F21</f>
        <v>0</v>
      </c>
      <c r="G62" s="405">
        <f>給与計算!G21</f>
        <v>0</v>
      </c>
      <c r="H62" s="405">
        <f>給与計算!H21</f>
        <v>0</v>
      </c>
      <c r="I62" s="405">
        <f>給与計算!E21</f>
        <v>0</v>
      </c>
      <c r="J62" s="405">
        <f>給与計算!F21</f>
        <v>0</v>
      </c>
      <c r="K62" s="405">
        <f>給与計算!I21</f>
        <v>0</v>
      </c>
      <c r="L62" s="405">
        <f>給与計算!L21</f>
        <v>0</v>
      </c>
    </row>
    <row r="63" spans="2:18">
      <c r="B63" s="400" t="s">
        <v>252</v>
      </c>
      <c r="C63" s="405">
        <f>給与計算!C22</f>
        <v>0</v>
      </c>
      <c r="D63" s="405">
        <f>給与計算!D22</f>
        <v>0</v>
      </c>
      <c r="E63" s="405">
        <f>給与計算!E22</f>
        <v>0</v>
      </c>
      <c r="F63" s="405">
        <f>給与計算!F22</f>
        <v>0</v>
      </c>
      <c r="G63" s="405">
        <f>給与計算!G22</f>
        <v>0</v>
      </c>
      <c r="H63" s="405">
        <f>給与計算!H22</f>
        <v>0</v>
      </c>
      <c r="I63" s="405">
        <f>給与計算!E22</f>
        <v>0</v>
      </c>
      <c r="J63" s="405">
        <f>給与計算!F22</f>
        <v>0</v>
      </c>
      <c r="K63" s="405">
        <f>給与計算!I22</f>
        <v>0</v>
      </c>
      <c r="L63" s="405">
        <f>給与計算!L22</f>
        <v>0</v>
      </c>
    </row>
    <row r="64" spans="2:18">
      <c r="B64" s="400" t="s">
        <v>133</v>
      </c>
      <c r="C64" s="406">
        <f ca="1">LOOKUP(INT(C62/1000),OFFSET(賞与算出表!$B$4:$B$21,0,C63),賞与算出表!$A$4:$A$21)</f>
        <v>0</v>
      </c>
      <c r="D64" s="406">
        <f ca="1">LOOKUP(INT(D62/1000),OFFSET(賞与算出表!$B$4:$B$21,0,D63),賞与算出表!$A$4:$A$21)</f>
        <v>0</v>
      </c>
      <c r="E64" s="406">
        <f ca="1">LOOKUP(INT(E62/1000),OFFSET(賞与算出表!$B$4:$B$21,0,E63),賞与算出表!$A$4:$A$21)</f>
        <v>0</v>
      </c>
      <c r="F64" s="406">
        <f ca="1">LOOKUP(INT(F62/1000),OFFSET(賞与算出表!$B$4:$B$21,0,F63),賞与算出表!$A$4:$A$21)</f>
        <v>0</v>
      </c>
      <c r="G64" s="406">
        <f ca="1">LOOKUP(INT(G62/1000),OFFSET(賞与算出表!$B$4:$B$21,0,G63),賞与算出表!$A$4:$A$21)</f>
        <v>0</v>
      </c>
      <c r="H64" s="406">
        <f ca="1">LOOKUP(INT(H62/1000),OFFSET(賞与算出表!$B$4:$B$21,0,H63),賞与算出表!$A$4:$A$21)</f>
        <v>0</v>
      </c>
      <c r="I64" s="406">
        <f ca="1">LOOKUP(INT(I62/1000),OFFSET(賞与算出表!$B$4:$B$21,0,I63),賞与算出表!$A$4:$A$21)</f>
        <v>0</v>
      </c>
      <c r="J64" s="406">
        <f ca="1">LOOKUP(INT(J62/1000),OFFSET(賞与算出表!$B$4:$B$21,0,J63),賞与算出表!$A$4:$A$21)</f>
        <v>0</v>
      </c>
      <c r="K64" s="406">
        <f ca="1">LOOKUP(INT(K62/1000),OFFSET(賞与算出表!$B$4:$B$21,0,K63),賞与算出表!$A$4:$A$21)</f>
        <v>0</v>
      </c>
      <c r="L64" s="406">
        <f ca="1">LOOKUP(INT(L62/1000),OFFSET(賞与算出表!$B$4:$B$21,0,L63),賞与算出表!$A$4:$A$21)</f>
        <v>0</v>
      </c>
    </row>
  </sheetData>
  <mergeCells count="1">
    <mergeCell ref="C1:D1"/>
  </mergeCells>
  <phoneticPr fontId="9"/>
  <pageMargins left="0.98425196850393704" right="0.59055118110236227" top="0.59055118110236227" bottom="0.39370078740157483" header="0.19685039370078741" footer="0.19685039370078741"/>
  <pageSetup paperSize="13" scale="69" orientation="landscape" horizontalDpi="4294967292" verticalDpi="4294967292"/>
  <headerFooter alignWithMargins="0">
    <oddHeader>&amp;C&amp;A&amp;R&amp;D</oddHeader>
    <oddFooter>&amp;R&amp;F &amp;A&amp;C株式会社○○△△</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賞与明細">
                <anchor moveWithCells="1" sizeWithCells="1">
                  <from>
                    <xdr:col>10</xdr:col>
                    <xdr:colOff>609600</xdr:colOff>
                    <xdr:row>1</xdr:row>
                    <xdr:rowOff>76200</xdr:rowOff>
                  </from>
                  <to>
                    <xdr:col>11</xdr:col>
                    <xdr:colOff>889000</xdr:colOff>
                    <xdr:row>2</xdr:row>
                    <xdr:rowOff>228600</xdr:rowOff>
                  </to>
                </anchor>
              </controlPr>
            </control>
          </mc:Choice>
          <mc:Fallback/>
        </mc:AlternateContent>
        <mc:AlternateContent xmlns:mc="http://schemas.openxmlformats.org/markup-compatibility/2006">
          <mc:Choice Requires="x14">
            <control shapeId="3074" r:id="rId4" name="Button 2">
              <controlPr defaultSize="0" print="0" autoFill="0" autoPict="0" macro="[0]!賞与一覧">
                <anchor moveWithCells="1" sizeWithCells="1">
                  <from>
                    <xdr:col>9</xdr:col>
                    <xdr:colOff>38100</xdr:colOff>
                    <xdr:row>1</xdr:row>
                    <xdr:rowOff>63500</xdr:rowOff>
                  </from>
                  <to>
                    <xdr:col>10</xdr:col>
                    <xdr:colOff>342900</xdr:colOff>
                    <xdr:row>3</xdr:row>
                    <xdr:rowOff>12700</xdr:rowOff>
                  </to>
                </anchor>
              </controlPr>
            </control>
          </mc:Choice>
          <mc:Fallback/>
        </mc:AlternateContent>
        <mc:AlternateContent xmlns:mc="http://schemas.openxmlformats.org/markup-compatibility/2006">
          <mc:Choice Requires="x14">
            <control shapeId="3077" r:id="rId5" name="Button 5">
              <controlPr defaultSize="0" print="0" autoFill="0" autoPict="0" macro="[0]!賞与転記">
                <anchor moveWithCells="1" sizeWithCells="1">
                  <from>
                    <xdr:col>11</xdr:col>
                    <xdr:colOff>1117600</xdr:colOff>
                    <xdr:row>1</xdr:row>
                    <xdr:rowOff>76200</xdr:rowOff>
                  </from>
                  <to>
                    <xdr:col>13</xdr:col>
                    <xdr:colOff>228600</xdr:colOff>
                    <xdr:row>2</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youMeisai" enableFormatConditionsCalculation="0"/>
  <dimension ref="A1:AN31"/>
  <sheetViews>
    <sheetView workbookViewId="0">
      <selection activeCell="B1" sqref="B1"/>
    </sheetView>
  </sheetViews>
  <sheetFormatPr baseColWidth="12" defaultColWidth="8.6640625" defaultRowHeight="17" x14ac:dyDescent="0"/>
  <cols>
    <col min="1" max="1" width="3.5" bestFit="1" customWidth="1"/>
    <col min="2" max="3" width="10.1640625" bestFit="1" customWidth="1"/>
    <col min="4" max="5" width="1.6640625" customWidth="1"/>
    <col min="6" max="7" width="10.1640625" bestFit="1" customWidth="1"/>
    <col min="8" max="9" width="1.6640625" customWidth="1"/>
    <col min="10" max="11" width="10.1640625" bestFit="1" customWidth="1"/>
    <col min="12" max="13" width="1.6640625" customWidth="1"/>
    <col min="14" max="15" width="10.1640625" bestFit="1" customWidth="1"/>
    <col min="16" max="17" width="1.6640625" customWidth="1"/>
    <col min="18" max="19" width="10.1640625" bestFit="1" customWidth="1"/>
    <col min="20" max="21" width="1.6640625" customWidth="1"/>
    <col min="22" max="23" width="10.1640625" bestFit="1" customWidth="1"/>
    <col min="24" max="25" width="1.6640625" customWidth="1"/>
    <col min="26" max="27" width="10.1640625" bestFit="1" customWidth="1"/>
    <col min="28" max="29" width="1.6640625" customWidth="1"/>
    <col min="30" max="31" width="10.1640625" bestFit="1" customWidth="1"/>
    <col min="32" max="33" width="1.6640625" customWidth="1"/>
    <col min="34" max="35" width="10.1640625" bestFit="1" customWidth="1"/>
    <col min="36" max="37" width="1.6640625" customWidth="1"/>
    <col min="38" max="39" width="10.1640625" bestFit="1" customWidth="1"/>
    <col min="40" max="40" width="1.6640625" customWidth="1"/>
  </cols>
  <sheetData>
    <row r="1" spans="1:40" ht="18">
      <c r="B1" s="574" t="s">
        <v>303</v>
      </c>
      <c r="C1" s="568">
        <v>1</v>
      </c>
      <c r="D1" s="568"/>
      <c r="E1" s="568"/>
      <c r="F1" s="568"/>
      <c r="G1" s="568">
        <v>2</v>
      </c>
      <c r="H1" s="568"/>
      <c r="I1" s="568"/>
      <c r="J1" s="568"/>
      <c r="K1" s="568">
        <v>3</v>
      </c>
      <c r="L1" s="568"/>
      <c r="M1" s="568"/>
      <c r="N1" s="568"/>
      <c r="O1" s="568">
        <v>4</v>
      </c>
      <c r="P1" s="568"/>
      <c r="Q1" s="568"/>
      <c r="R1" s="568"/>
      <c r="S1" s="568">
        <v>5</v>
      </c>
      <c r="T1" s="568"/>
      <c r="U1" s="568"/>
      <c r="V1" s="568"/>
      <c r="W1" s="568">
        <v>6</v>
      </c>
      <c r="X1" s="568"/>
      <c r="Y1" s="568"/>
      <c r="Z1" s="568"/>
      <c r="AA1" s="568">
        <v>7</v>
      </c>
      <c r="AB1" s="568"/>
      <c r="AC1" s="568"/>
      <c r="AD1" s="568"/>
      <c r="AE1" s="568">
        <v>8</v>
      </c>
      <c r="AF1" s="568"/>
      <c r="AG1" s="568"/>
      <c r="AH1" s="568"/>
      <c r="AI1" s="568">
        <v>9</v>
      </c>
      <c r="AJ1" s="568"/>
      <c r="AK1" s="568"/>
      <c r="AL1" s="568"/>
      <c r="AM1" s="568">
        <v>10</v>
      </c>
    </row>
    <row r="2" spans="1:40" s="460" customFormat="1" ht="18" thickBot="1">
      <c r="B2" s="458" t="s">
        <v>159</v>
      </c>
      <c r="C2" s="458" t="s">
        <v>159</v>
      </c>
      <c r="D2" s="458"/>
      <c r="E2" s="458"/>
      <c r="F2" s="458" t="s">
        <v>159</v>
      </c>
      <c r="G2" s="458" t="s">
        <v>159</v>
      </c>
      <c r="H2" s="458"/>
      <c r="I2" s="458"/>
      <c r="J2" s="458" t="s">
        <v>159</v>
      </c>
      <c r="K2" s="458" t="s">
        <v>159</v>
      </c>
      <c r="L2" s="458"/>
      <c r="M2" s="458"/>
      <c r="N2" s="458" t="s">
        <v>159</v>
      </c>
      <c r="O2" s="458" t="s">
        <v>159</v>
      </c>
      <c r="P2" s="458"/>
      <c r="Q2" s="458"/>
      <c r="R2" s="458" t="s">
        <v>159</v>
      </c>
      <c r="S2" s="458" t="s">
        <v>159</v>
      </c>
      <c r="T2" s="458"/>
      <c r="U2" s="459"/>
      <c r="V2" s="458" t="s">
        <v>159</v>
      </c>
      <c r="W2" s="458" t="s">
        <v>159</v>
      </c>
      <c r="X2" s="458"/>
      <c r="Y2" s="459"/>
      <c r="Z2" s="458" t="s">
        <v>159</v>
      </c>
      <c r="AA2" s="458" t="s">
        <v>159</v>
      </c>
      <c r="AB2" s="458"/>
      <c r="AC2" s="459"/>
      <c r="AD2" s="458" t="s">
        <v>159</v>
      </c>
      <c r="AE2" s="458" t="s">
        <v>159</v>
      </c>
      <c r="AF2" s="458"/>
      <c r="AG2" s="459"/>
      <c r="AH2" s="458" t="s">
        <v>159</v>
      </c>
      <c r="AI2" s="458" t="s">
        <v>159</v>
      </c>
      <c r="AJ2" s="458"/>
      <c r="AK2" s="459"/>
      <c r="AL2" s="458" t="s">
        <v>159</v>
      </c>
      <c r="AM2" s="458" t="s">
        <v>159</v>
      </c>
      <c r="AN2" s="458"/>
    </row>
    <row r="3" spans="1:40" ht="18">
      <c r="B3" s="620" t="str">
        <f ca="1">賞与計算!$C$1</f>
        <v>平成27年夏期</v>
      </c>
      <c r="C3" s="621"/>
      <c r="D3" s="46"/>
      <c r="E3" s="47"/>
      <c r="F3" s="620" t="str">
        <f ca="1">賞与計算!$C$1</f>
        <v>平成27年夏期</v>
      </c>
      <c r="G3" s="621"/>
      <c r="H3" s="46"/>
      <c r="I3" s="47"/>
      <c r="J3" s="620" t="str">
        <f ca="1">賞与計算!$C$1</f>
        <v>平成27年夏期</v>
      </c>
      <c r="K3" s="621"/>
      <c r="L3" s="46"/>
      <c r="M3" s="47"/>
      <c r="N3" s="620" t="str">
        <f ca="1">賞与計算!$C$1</f>
        <v>平成27年夏期</v>
      </c>
      <c r="O3" s="621"/>
      <c r="P3" s="46"/>
      <c r="Q3" s="47"/>
      <c r="R3" s="620" t="str">
        <f ca="1">賞与計算!$C$1</f>
        <v>平成27年夏期</v>
      </c>
      <c r="S3" s="621"/>
      <c r="T3" s="46"/>
      <c r="U3" s="47"/>
      <c r="V3" s="620" t="str">
        <f ca="1">賞与計算!$C$1</f>
        <v>平成27年夏期</v>
      </c>
      <c r="W3" s="621"/>
      <c r="X3" s="46"/>
      <c r="Y3" s="47"/>
      <c r="Z3" s="620" t="str">
        <f ca="1">賞与計算!$C$1</f>
        <v>平成27年夏期</v>
      </c>
      <c r="AA3" s="621"/>
      <c r="AB3" s="46"/>
      <c r="AC3" s="47"/>
      <c r="AD3" s="620" t="str">
        <f ca="1">賞与計算!$C$1</f>
        <v>平成27年夏期</v>
      </c>
      <c r="AE3" s="621"/>
      <c r="AF3" s="46"/>
      <c r="AG3" s="47"/>
      <c r="AH3" s="620" t="str">
        <f ca="1">賞与計算!$C$1</f>
        <v>平成27年夏期</v>
      </c>
      <c r="AI3" s="621"/>
      <c r="AJ3" s="46"/>
      <c r="AK3" s="47"/>
      <c r="AL3" s="620" t="str">
        <f ca="1">賞与計算!$C$1</f>
        <v>平成27年夏期</v>
      </c>
      <c r="AM3" s="621"/>
      <c r="AN3" s="46"/>
    </row>
    <row r="4" spans="1:40" ht="26" thickBot="1">
      <c r="B4" s="622" t="s">
        <v>238</v>
      </c>
      <c r="C4" s="623"/>
      <c r="D4" s="48"/>
      <c r="E4" s="49"/>
      <c r="F4" s="622" t="s">
        <v>238</v>
      </c>
      <c r="G4" s="623"/>
      <c r="H4" s="48"/>
      <c r="I4" s="49"/>
      <c r="J4" s="622" t="s">
        <v>238</v>
      </c>
      <c r="K4" s="623"/>
      <c r="L4" s="48"/>
      <c r="M4" s="49"/>
      <c r="N4" s="622" t="s">
        <v>238</v>
      </c>
      <c r="O4" s="623"/>
      <c r="P4" s="48"/>
      <c r="Q4" s="49"/>
      <c r="R4" s="622" t="s">
        <v>238</v>
      </c>
      <c r="S4" s="623"/>
      <c r="T4" s="48"/>
      <c r="U4" s="49"/>
      <c r="V4" s="622" t="s">
        <v>238</v>
      </c>
      <c r="W4" s="623"/>
      <c r="X4" s="48"/>
      <c r="Y4" s="49"/>
      <c r="Z4" s="622" t="s">
        <v>238</v>
      </c>
      <c r="AA4" s="623"/>
      <c r="AB4" s="48"/>
      <c r="AC4" s="49"/>
      <c r="AD4" s="622" t="s">
        <v>238</v>
      </c>
      <c r="AE4" s="623"/>
      <c r="AF4" s="48"/>
      <c r="AG4" s="49"/>
      <c r="AH4" s="622" t="s">
        <v>238</v>
      </c>
      <c r="AI4" s="623"/>
      <c r="AJ4" s="48"/>
      <c r="AK4" s="49"/>
      <c r="AL4" s="622" t="s">
        <v>238</v>
      </c>
      <c r="AM4" s="623"/>
      <c r="AN4" s="48"/>
    </row>
    <row r="5" spans="1:40" ht="19" thickBot="1">
      <c r="B5" s="10"/>
      <c r="C5" s="10"/>
      <c r="D5" s="50"/>
      <c r="E5" s="51"/>
      <c r="F5" s="10"/>
      <c r="G5" s="10"/>
      <c r="H5" s="50"/>
      <c r="I5" s="51"/>
      <c r="J5" s="11"/>
      <c r="K5" s="11"/>
      <c r="L5" s="50"/>
      <c r="M5" s="51"/>
      <c r="N5" s="11"/>
      <c r="O5" s="11"/>
      <c r="P5" s="50"/>
      <c r="Q5" s="51"/>
      <c r="R5" s="11"/>
      <c r="S5" s="11"/>
      <c r="T5" s="50"/>
      <c r="U5" s="51"/>
      <c r="V5" s="11"/>
      <c r="W5" s="11"/>
      <c r="X5" s="50"/>
      <c r="Y5" s="51"/>
      <c r="Z5" s="11"/>
      <c r="AA5" s="11"/>
      <c r="AB5" s="50"/>
      <c r="AC5" s="51"/>
      <c r="AD5" s="11"/>
      <c r="AE5" s="11"/>
      <c r="AF5" s="50"/>
      <c r="AG5" s="51"/>
      <c r="AH5" s="11"/>
      <c r="AI5" s="11"/>
      <c r="AJ5" s="50"/>
      <c r="AK5" s="51"/>
      <c r="AL5" s="11"/>
      <c r="AM5" s="11"/>
      <c r="AN5" s="50"/>
    </row>
    <row r="6" spans="1:40" ht="20">
      <c r="A6" s="568">
        <v>6</v>
      </c>
      <c r="B6" s="624" t="str">
        <f>INDEX(賞与計算!_xlnm.Print_Area,$A6,C1+1)</f>
        <v>A</v>
      </c>
      <c r="C6" s="625" t="e">
        <f>INDEX(給与計算!_xlnm.Print_Area,$B6,D1+1)</f>
        <v>#VALUE!</v>
      </c>
      <c r="D6" s="52"/>
      <c r="E6" s="53"/>
      <c r="F6" s="624" t="str">
        <f>INDEX(賞与計算!_xlnm.Print_Area,$A6,G1+1)</f>
        <v>B</v>
      </c>
      <c r="G6" s="625" t="e">
        <f>INDEX(給与計算!_xlnm.Print_Area,$B6,H1+1)</f>
        <v>#VALUE!</v>
      </c>
      <c r="H6" s="52"/>
      <c r="I6" s="53"/>
      <c r="J6" s="624" t="str">
        <f>INDEX(賞与計算!_xlnm.Print_Area,$A6,K1+1)</f>
        <v>C</v>
      </c>
      <c r="K6" s="625" t="e">
        <f>INDEX(給与計算!_xlnm.Print_Area,$B6,L1+1)</f>
        <v>#VALUE!</v>
      </c>
      <c r="L6" s="52"/>
      <c r="M6" s="53"/>
      <c r="N6" s="624" t="str">
        <f>INDEX(賞与計算!_xlnm.Print_Area,$A6,O1+1)</f>
        <v>D</v>
      </c>
      <c r="O6" s="625" t="e">
        <f>INDEX(給与計算!_xlnm.Print_Area,$B6,P1+1)</f>
        <v>#VALUE!</v>
      </c>
      <c r="P6" s="52"/>
      <c r="Q6" s="53"/>
      <c r="R6" s="624" t="str">
        <f>INDEX(賞与計算!_xlnm.Print_Area,$A6,S1+1)</f>
        <v>E</v>
      </c>
      <c r="S6" s="625" t="e">
        <f>INDEX(給与計算!_xlnm.Print_Area,$B6,T1+1)</f>
        <v>#VALUE!</v>
      </c>
      <c r="T6" s="52"/>
      <c r="U6" s="53"/>
      <c r="V6" s="624">
        <f>INDEX(賞与計算!_xlnm.Print_Area,$A6,W1+1)</f>
        <v>0</v>
      </c>
      <c r="W6" s="625" t="e">
        <f>INDEX(給与計算!_xlnm.Print_Area,$B6,X1+1)</f>
        <v>#VALUE!</v>
      </c>
      <c r="X6" s="52"/>
      <c r="Y6" s="53"/>
      <c r="Z6" s="624">
        <f>INDEX(賞与計算!_xlnm.Print_Area,$A6,AA1+1)</f>
        <v>0</v>
      </c>
      <c r="AA6" s="625" t="e">
        <f>INDEX(給与計算!_xlnm.Print_Area,$B6,AB1+1)</f>
        <v>#VALUE!</v>
      </c>
      <c r="AB6" s="52"/>
      <c r="AC6" s="53"/>
      <c r="AD6" s="624">
        <f>INDEX(賞与計算!_xlnm.Print_Area,$A6,AE1+1)</f>
        <v>0</v>
      </c>
      <c r="AE6" s="625" t="e">
        <f>INDEX(給与計算!_xlnm.Print_Area,$B6,AF1+1)</f>
        <v>#VALUE!</v>
      </c>
      <c r="AF6" s="52"/>
      <c r="AG6" s="53"/>
      <c r="AH6" s="624">
        <f>INDEX(賞与計算!_xlnm.Print_Area,$A6,AI1+1)</f>
        <v>0</v>
      </c>
      <c r="AI6" s="625" t="e">
        <f>INDEX(給与計算!_xlnm.Print_Area,$B6,AJ1+1)</f>
        <v>#VALUE!</v>
      </c>
      <c r="AJ6" s="52"/>
      <c r="AK6" s="53"/>
      <c r="AL6" s="624">
        <f>INDEX(賞与計算!_xlnm.Print_Area,$A6,AM1+1)</f>
        <v>0</v>
      </c>
      <c r="AM6" s="625" t="e">
        <f>INDEX(給与計算!_xlnm.Print_Area,$B6,AN1+1)</f>
        <v>#VALUE!</v>
      </c>
      <c r="AN6" s="52"/>
    </row>
    <row r="7" spans="1:40" ht="18">
      <c r="A7" s="568">
        <v>14</v>
      </c>
      <c r="B7" s="21" t="str">
        <f>INDEX(賞与計算!_xlnm.Print_Area,$A7,1)</f>
        <v>定額基礎</v>
      </c>
      <c r="C7" s="22">
        <f>INDEX(賞与計算!_xlnm.Print_Area,$A7,C$1+1)</f>
        <v>0</v>
      </c>
      <c r="D7" s="54"/>
      <c r="E7" s="55"/>
      <c r="F7" s="21" t="str">
        <f>INDEX(賞与計算!_xlnm.Print_Area,$A7,1)</f>
        <v>定額基礎</v>
      </c>
      <c r="G7" s="22">
        <f>INDEX(賞与計算!_xlnm.Print_Area,$A7,G$1+1)</f>
        <v>0</v>
      </c>
      <c r="H7" s="54"/>
      <c r="I7" s="55"/>
      <c r="J7" s="21" t="str">
        <f>INDEX(賞与計算!_xlnm.Print_Area,$A7,1)</f>
        <v>定額基礎</v>
      </c>
      <c r="K7" s="22">
        <f>INDEX(賞与計算!_xlnm.Print_Area,$A7,K$1+1)</f>
        <v>0</v>
      </c>
      <c r="L7" s="54"/>
      <c r="M7" s="55"/>
      <c r="N7" s="21" t="str">
        <f>INDEX(賞与計算!_xlnm.Print_Area,$A7,1)</f>
        <v>定額基礎</v>
      </c>
      <c r="O7" s="22">
        <f>INDEX(賞与計算!_xlnm.Print_Area,$A7,O$1+1)</f>
        <v>0</v>
      </c>
      <c r="P7" s="54"/>
      <c r="Q7" s="55"/>
      <c r="R7" s="21" t="str">
        <f>INDEX(賞与計算!_xlnm.Print_Area,$A7,1)</f>
        <v>定額基礎</v>
      </c>
      <c r="S7" s="22">
        <f>INDEX(賞与計算!_xlnm.Print_Area,$A7,S$1+1)</f>
        <v>0</v>
      </c>
      <c r="T7" s="54"/>
      <c r="U7" s="55"/>
      <c r="V7" s="21" t="str">
        <f>INDEX(賞与計算!_xlnm.Print_Area,$A7,1)</f>
        <v>定額基礎</v>
      </c>
      <c r="W7" s="22">
        <f>INDEX(賞与計算!_xlnm.Print_Area,$A7,W$1+1)</f>
        <v>0</v>
      </c>
      <c r="X7" s="54"/>
      <c r="Y7" s="55"/>
      <c r="Z7" s="21" t="str">
        <f>INDEX(賞与計算!_xlnm.Print_Area,$A7,1)</f>
        <v>定額基礎</v>
      </c>
      <c r="AA7" s="22">
        <f>INDEX(賞与計算!_xlnm.Print_Area,$A7,AA$1+1)</f>
        <v>0</v>
      </c>
      <c r="AB7" s="54"/>
      <c r="AC7" s="55"/>
      <c r="AD7" s="21" t="str">
        <f>INDEX(賞与計算!_xlnm.Print_Area,$A7,1)</f>
        <v>定額基礎</v>
      </c>
      <c r="AE7" s="22">
        <f>INDEX(賞与計算!_xlnm.Print_Area,$A7,AE$1+1)</f>
        <v>0</v>
      </c>
      <c r="AF7" s="54"/>
      <c r="AG7" s="55"/>
      <c r="AH7" s="21" t="str">
        <f>INDEX(賞与計算!_xlnm.Print_Area,$A7,1)</f>
        <v>定額基礎</v>
      </c>
      <c r="AI7" s="22">
        <f>INDEX(賞与計算!_xlnm.Print_Area,$A7,AI$1+1)</f>
        <v>0</v>
      </c>
      <c r="AJ7" s="54"/>
      <c r="AK7" s="55"/>
      <c r="AL7" s="21" t="str">
        <f>INDEX(賞与計算!_xlnm.Print_Area,$A7,1)</f>
        <v>定額基礎</v>
      </c>
      <c r="AM7" s="22">
        <f>INDEX(賞与計算!_xlnm.Print_Area,$A7,AM$1+1)</f>
        <v>0</v>
      </c>
      <c r="AN7" s="54"/>
    </row>
    <row r="8" spans="1:40" ht="18">
      <c r="A8" s="568">
        <v>15</v>
      </c>
      <c r="B8" s="23" t="str">
        <f>INDEX(賞与計算!_xlnm.Print_Area,$A8,1)</f>
        <v>売上還元</v>
      </c>
      <c r="C8" s="24">
        <f>INDEX(賞与計算!_xlnm.Print_Area,$A8,C$1+1)</f>
        <v>0</v>
      </c>
      <c r="D8" s="54"/>
      <c r="E8" s="55"/>
      <c r="F8" s="23" t="str">
        <f>INDEX(賞与計算!_xlnm.Print_Area,$A8,1)</f>
        <v>売上還元</v>
      </c>
      <c r="G8" s="24">
        <f>INDEX(賞与計算!_xlnm.Print_Area,$A8,G$1+1)</f>
        <v>0</v>
      </c>
      <c r="H8" s="54"/>
      <c r="I8" s="55"/>
      <c r="J8" s="23" t="str">
        <f>INDEX(賞与計算!_xlnm.Print_Area,$A8,1)</f>
        <v>売上還元</v>
      </c>
      <c r="K8" s="24">
        <f>INDEX(賞与計算!_xlnm.Print_Area,$A8,K$1+1)</f>
        <v>0</v>
      </c>
      <c r="L8" s="54"/>
      <c r="M8" s="55"/>
      <c r="N8" s="23" t="str">
        <f>INDEX(賞与計算!_xlnm.Print_Area,$A8,1)</f>
        <v>売上還元</v>
      </c>
      <c r="O8" s="24">
        <f>INDEX(賞与計算!_xlnm.Print_Area,$A8,O$1+1)</f>
        <v>0</v>
      </c>
      <c r="P8" s="54"/>
      <c r="Q8" s="55"/>
      <c r="R8" s="23" t="str">
        <f>INDEX(賞与計算!_xlnm.Print_Area,$A8,1)</f>
        <v>売上還元</v>
      </c>
      <c r="S8" s="24">
        <f>INDEX(賞与計算!_xlnm.Print_Area,$A8,S$1+1)</f>
        <v>0</v>
      </c>
      <c r="T8" s="54"/>
      <c r="U8" s="55"/>
      <c r="V8" s="23" t="str">
        <f>INDEX(賞与計算!_xlnm.Print_Area,$A8,1)</f>
        <v>売上還元</v>
      </c>
      <c r="W8" s="24">
        <f>INDEX(賞与計算!_xlnm.Print_Area,$A8,W$1+1)</f>
        <v>0</v>
      </c>
      <c r="X8" s="54"/>
      <c r="Y8" s="55"/>
      <c r="Z8" s="23" t="str">
        <f>INDEX(賞与計算!_xlnm.Print_Area,$A8,1)</f>
        <v>売上還元</v>
      </c>
      <c r="AA8" s="24">
        <f>INDEX(賞与計算!_xlnm.Print_Area,$A8,AA$1+1)</f>
        <v>0</v>
      </c>
      <c r="AB8" s="54"/>
      <c r="AC8" s="55"/>
      <c r="AD8" s="23" t="str">
        <f>INDEX(賞与計算!_xlnm.Print_Area,$A8,1)</f>
        <v>売上還元</v>
      </c>
      <c r="AE8" s="24">
        <f>INDEX(賞与計算!_xlnm.Print_Area,$A8,AE$1+1)</f>
        <v>0</v>
      </c>
      <c r="AF8" s="54"/>
      <c r="AG8" s="55"/>
      <c r="AH8" s="23" t="str">
        <f>INDEX(賞与計算!_xlnm.Print_Area,$A8,1)</f>
        <v>売上還元</v>
      </c>
      <c r="AI8" s="24">
        <f>INDEX(賞与計算!_xlnm.Print_Area,$A8,AI$1+1)</f>
        <v>0</v>
      </c>
      <c r="AJ8" s="54"/>
      <c r="AK8" s="55"/>
      <c r="AL8" s="23" t="str">
        <f>INDEX(賞与計算!_xlnm.Print_Area,$A8,1)</f>
        <v>売上還元</v>
      </c>
      <c r="AM8" s="24">
        <f>INDEX(賞与計算!_xlnm.Print_Area,$A8,AM$1+1)</f>
        <v>0</v>
      </c>
      <c r="AN8" s="54"/>
    </row>
    <row r="9" spans="1:40" ht="18">
      <c r="A9" s="568">
        <v>16</v>
      </c>
      <c r="B9" s="23" t="str">
        <f>INDEX(賞与計算!_xlnm.Print_Area,$A9,1)</f>
        <v>能力還元</v>
      </c>
      <c r="C9" s="24">
        <f>INDEX(賞与計算!_xlnm.Print_Area,$A9,C$1+1)</f>
        <v>0</v>
      </c>
      <c r="D9" s="54"/>
      <c r="E9" s="55"/>
      <c r="F9" s="23" t="str">
        <f>INDEX(賞与計算!_xlnm.Print_Area,$A9,1)</f>
        <v>能力還元</v>
      </c>
      <c r="G9" s="24">
        <f>INDEX(賞与計算!_xlnm.Print_Area,$A9,G$1+1)</f>
        <v>0</v>
      </c>
      <c r="H9" s="54"/>
      <c r="I9" s="55"/>
      <c r="J9" s="23" t="str">
        <f>INDEX(賞与計算!_xlnm.Print_Area,$A9,1)</f>
        <v>能力還元</v>
      </c>
      <c r="K9" s="24">
        <f>INDEX(賞与計算!_xlnm.Print_Area,$A9,K$1+1)</f>
        <v>0</v>
      </c>
      <c r="L9" s="54"/>
      <c r="M9" s="55"/>
      <c r="N9" s="23" t="str">
        <f>INDEX(賞与計算!_xlnm.Print_Area,$A9,1)</f>
        <v>能力還元</v>
      </c>
      <c r="O9" s="24">
        <f>INDEX(賞与計算!_xlnm.Print_Area,$A9,O$1+1)</f>
        <v>0</v>
      </c>
      <c r="P9" s="54"/>
      <c r="Q9" s="55"/>
      <c r="R9" s="23" t="str">
        <f>INDEX(賞与計算!_xlnm.Print_Area,$A9,1)</f>
        <v>能力還元</v>
      </c>
      <c r="S9" s="24">
        <f>INDEX(賞与計算!_xlnm.Print_Area,$A9,S$1+1)</f>
        <v>0</v>
      </c>
      <c r="T9" s="54"/>
      <c r="U9" s="55"/>
      <c r="V9" s="23" t="str">
        <f>INDEX(賞与計算!_xlnm.Print_Area,$A9,1)</f>
        <v>能力還元</v>
      </c>
      <c r="W9" s="24">
        <f>INDEX(賞与計算!_xlnm.Print_Area,$A9,W$1+1)</f>
        <v>0</v>
      </c>
      <c r="X9" s="54"/>
      <c r="Y9" s="55"/>
      <c r="Z9" s="23" t="str">
        <f>INDEX(賞与計算!_xlnm.Print_Area,$A9,1)</f>
        <v>能力還元</v>
      </c>
      <c r="AA9" s="24">
        <f>INDEX(賞与計算!_xlnm.Print_Area,$A9,AA$1+1)</f>
        <v>0</v>
      </c>
      <c r="AB9" s="54"/>
      <c r="AC9" s="55"/>
      <c r="AD9" s="23" t="str">
        <f>INDEX(賞与計算!_xlnm.Print_Area,$A9,1)</f>
        <v>能力還元</v>
      </c>
      <c r="AE9" s="24">
        <f>INDEX(賞与計算!_xlnm.Print_Area,$A9,AE$1+1)</f>
        <v>0</v>
      </c>
      <c r="AF9" s="54"/>
      <c r="AG9" s="55"/>
      <c r="AH9" s="23" t="str">
        <f>INDEX(賞与計算!_xlnm.Print_Area,$A9,1)</f>
        <v>能力還元</v>
      </c>
      <c r="AI9" s="24">
        <f>INDEX(賞与計算!_xlnm.Print_Area,$A9,AI$1+1)</f>
        <v>0</v>
      </c>
      <c r="AJ9" s="54"/>
      <c r="AK9" s="55"/>
      <c r="AL9" s="23" t="str">
        <f>INDEX(賞与計算!_xlnm.Print_Area,$A9,1)</f>
        <v>能力還元</v>
      </c>
      <c r="AM9" s="24">
        <f>INDEX(賞与計算!_xlnm.Print_Area,$A9,AM$1+1)</f>
        <v>0</v>
      </c>
      <c r="AN9" s="54"/>
    </row>
    <row r="10" spans="1:40" ht="19" thickBot="1">
      <c r="A10" s="568">
        <v>17</v>
      </c>
      <c r="B10" s="25" t="str">
        <f>INDEX(賞与計算!_xlnm.Print_Area,$A10,1)</f>
        <v>総支給額</v>
      </c>
      <c r="C10" s="26">
        <f>INDEX(賞与計算!_xlnm.Print_Area,$A10,C$1+1)</f>
        <v>0</v>
      </c>
      <c r="D10" s="54"/>
      <c r="E10" s="55"/>
      <c r="F10" s="25" t="str">
        <f>INDEX(賞与計算!_xlnm.Print_Area,$A10,1)</f>
        <v>総支給額</v>
      </c>
      <c r="G10" s="26">
        <f>INDEX(賞与計算!_xlnm.Print_Area,$A10,G$1+1)</f>
        <v>0</v>
      </c>
      <c r="H10" s="54"/>
      <c r="I10" s="55"/>
      <c r="J10" s="25" t="str">
        <f>INDEX(賞与計算!_xlnm.Print_Area,$A10,1)</f>
        <v>総支給額</v>
      </c>
      <c r="K10" s="26">
        <f>INDEX(賞与計算!_xlnm.Print_Area,$A10,K$1+1)</f>
        <v>0</v>
      </c>
      <c r="L10" s="54"/>
      <c r="M10" s="55"/>
      <c r="N10" s="25" t="str">
        <f>INDEX(賞与計算!_xlnm.Print_Area,$A10,1)</f>
        <v>総支給額</v>
      </c>
      <c r="O10" s="26">
        <f>INDEX(賞与計算!_xlnm.Print_Area,$A10,O$1+1)</f>
        <v>0</v>
      </c>
      <c r="P10" s="54"/>
      <c r="Q10" s="55"/>
      <c r="R10" s="25" t="str">
        <f>INDEX(賞与計算!_xlnm.Print_Area,$A10,1)</f>
        <v>総支給額</v>
      </c>
      <c r="S10" s="26">
        <f>INDEX(賞与計算!_xlnm.Print_Area,$A10,S$1+1)</f>
        <v>0</v>
      </c>
      <c r="T10" s="54"/>
      <c r="U10" s="55"/>
      <c r="V10" s="25" t="str">
        <f>INDEX(賞与計算!_xlnm.Print_Area,$A10,1)</f>
        <v>総支給額</v>
      </c>
      <c r="W10" s="26">
        <f>INDEX(賞与計算!_xlnm.Print_Area,$A10,W$1+1)</f>
        <v>0</v>
      </c>
      <c r="X10" s="54"/>
      <c r="Y10" s="55"/>
      <c r="Z10" s="25" t="str">
        <f>INDEX(賞与計算!_xlnm.Print_Area,$A10,1)</f>
        <v>総支給額</v>
      </c>
      <c r="AA10" s="26">
        <f>INDEX(賞与計算!_xlnm.Print_Area,$A10,AA$1+1)</f>
        <v>0</v>
      </c>
      <c r="AB10" s="54"/>
      <c r="AC10" s="55"/>
      <c r="AD10" s="25" t="str">
        <f>INDEX(賞与計算!_xlnm.Print_Area,$A10,1)</f>
        <v>総支給額</v>
      </c>
      <c r="AE10" s="26">
        <f>INDEX(賞与計算!_xlnm.Print_Area,$A10,AE$1+1)</f>
        <v>0</v>
      </c>
      <c r="AF10" s="54"/>
      <c r="AG10" s="55"/>
      <c r="AH10" s="25" t="str">
        <f>INDEX(賞与計算!_xlnm.Print_Area,$A10,1)</f>
        <v>総支給額</v>
      </c>
      <c r="AI10" s="26">
        <f>INDEX(賞与計算!_xlnm.Print_Area,$A10,AI$1+1)</f>
        <v>0</v>
      </c>
      <c r="AJ10" s="54"/>
      <c r="AK10" s="55"/>
      <c r="AL10" s="25" t="str">
        <f>INDEX(賞与計算!_xlnm.Print_Area,$A10,1)</f>
        <v>総支給額</v>
      </c>
      <c r="AM10" s="26">
        <f>INDEX(賞与計算!_xlnm.Print_Area,$A10,AM$1+1)</f>
        <v>0</v>
      </c>
      <c r="AN10" s="54"/>
    </row>
    <row r="11" spans="1:40" ht="19" thickBot="1">
      <c r="A11" s="568"/>
      <c r="B11" s="27"/>
      <c r="C11" s="28"/>
      <c r="D11" s="56"/>
      <c r="E11" s="57"/>
      <c r="F11" s="27"/>
      <c r="G11" s="28"/>
      <c r="H11" s="56"/>
      <c r="I11" s="57"/>
      <c r="J11" s="27"/>
      <c r="K11" s="28"/>
      <c r="L11" s="56"/>
      <c r="M11" s="57"/>
      <c r="N11" s="27"/>
      <c r="O11" s="28"/>
      <c r="P11" s="56"/>
      <c r="Q11" s="57"/>
      <c r="R11" s="27"/>
      <c r="S11" s="28"/>
      <c r="T11" s="56"/>
      <c r="U11" s="57"/>
      <c r="V11" s="27"/>
      <c r="W11" s="28"/>
      <c r="X11" s="56"/>
      <c r="Y11" s="57"/>
      <c r="Z11" s="27"/>
      <c r="AA11" s="28"/>
      <c r="AB11" s="56"/>
      <c r="AC11" s="57"/>
      <c r="AD11" s="27"/>
      <c r="AE11" s="28"/>
      <c r="AF11" s="56"/>
      <c r="AG11" s="57"/>
      <c r="AH11" s="27"/>
      <c r="AI11" s="28"/>
      <c r="AJ11" s="56"/>
      <c r="AK11" s="57"/>
      <c r="AL11" s="27"/>
      <c r="AM11" s="28"/>
      <c r="AN11" s="56"/>
    </row>
    <row r="12" spans="1:40" ht="18">
      <c r="A12" s="568">
        <v>19</v>
      </c>
      <c r="B12" s="29" t="str">
        <f>INDEX(賞与計算!_xlnm.Print_Area,$A12,1)</f>
        <v>健康保険</v>
      </c>
      <c r="C12" s="30">
        <f ca="1">INDEX(賞与計算!_xlnm.Print_Area,$A12,C$1+1)</f>
        <v>0</v>
      </c>
      <c r="D12" s="54"/>
      <c r="E12" s="55"/>
      <c r="F12" s="29" t="str">
        <f>INDEX(賞与計算!_xlnm.Print_Area,$A12,1)</f>
        <v>健康保険</v>
      </c>
      <c r="G12" s="30">
        <f ca="1">INDEX(賞与計算!_xlnm.Print_Area,$A12,G$1+1)</f>
        <v>0</v>
      </c>
      <c r="H12" s="54"/>
      <c r="I12" s="55"/>
      <c r="J12" s="29" t="str">
        <f>INDEX(賞与計算!_xlnm.Print_Area,$A12,1)</f>
        <v>健康保険</v>
      </c>
      <c r="K12" s="30">
        <f ca="1">INDEX(賞与計算!_xlnm.Print_Area,$A12,K$1+1)</f>
        <v>0</v>
      </c>
      <c r="L12" s="54"/>
      <c r="M12" s="55"/>
      <c r="N12" s="29" t="str">
        <f>INDEX(賞与計算!_xlnm.Print_Area,$A12,1)</f>
        <v>健康保険</v>
      </c>
      <c r="O12" s="30">
        <f ca="1">INDEX(賞与計算!_xlnm.Print_Area,$A12,O$1+1)</f>
        <v>0</v>
      </c>
      <c r="P12" s="54"/>
      <c r="Q12" s="55"/>
      <c r="R12" s="29" t="str">
        <f>INDEX(賞与計算!_xlnm.Print_Area,$A12,1)</f>
        <v>健康保険</v>
      </c>
      <c r="S12" s="30">
        <f ca="1">INDEX(賞与計算!_xlnm.Print_Area,$A12,S$1+1)</f>
        <v>0</v>
      </c>
      <c r="T12" s="54"/>
      <c r="U12" s="55"/>
      <c r="V12" s="29" t="str">
        <f>INDEX(賞与計算!_xlnm.Print_Area,$A12,1)</f>
        <v>健康保険</v>
      </c>
      <c r="W12" s="30">
        <f>INDEX(賞与計算!_xlnm.Print_Area,$A12,W$1+1)</f>
        <v>0</v>
      </c>
      <c r="X12" s="54"/>
      <c r="Y12" s="55"/>
      <c r="Z12" s="29" t="str">
        <f>INDEX(賞与計算!_xlnm.Print_Area,$A12,1)</f>
        <v>健康保険</v>
      </c>
      <c r="AA12" s="30">
        <f ca="1">INDEX(賞与計算!_xlnm.Print_Area,$A12,AA$1+1)</f>
        <v>0</v>
      </c>
      <c r="AB12" s="54"/>
      <c r="AC12" s="55"/>
      <c r="AD12" s="29" t="str">
        <f>INDEX(賞与計算!_xlnm.Print_Area,$A12,1)</f>
        <v>健康保険</v>
      </c>
      <c r="AE12" s="30">
        <f ca="1">INDEX(賞与計算!_xlnm.Print_Area,$A12,AE$1+1)</f>
        <v>0</v>
      </c>
      <c r="AF12" s="54"/>
      <c r="AG12" s="55"/>
      <c r="AH12" s="29" t="str">
        <f>INDEX(賞与計算!_xlnm.Print_Area,$A12,1)</f>
        <v>健康保険</v>
      </c>
      <c r="AI12" s="30">
        <f>INDEX(賞与計算!_xlnm.Print_Area,$A12,AI$1+1)</f>
        <v>0</v>
      </c>
      <c r="AJ12" s="54"/>
      <c r="AK12" s="55"/>
      <c r="AL12" s="29" t="str">
        <f>INDEX(賞与計算!_xlnm.Print_Area,$A12,1)</f>
        <v>健康保険</v>
      </c>
      <c r="AM12" s="30">
        <f>INDEX(賞与計算!_xlnm.Print_Area,$A12,AM$1+1)</f>
        <v>0</v>
      </c>
      <c r="AN12" s="54"/>
    </row>
    <row r="13" spans="1:40" ht="18">
      <c r="A13" s="568">
        <v>20</v>
      </c>
      <c r="B13" s="23" t="str">
        <f>INDEX(賞与計算!_xlnm.Print_Area,$A13,1)</f>
        <v>厚生年金</v>
      </c>
      <c r="C13" s="24">
        <f>INDEX(賞与計算!_xlnm.Print_Area,$A13,C$1+1)</f>
        <v>0</v>
      </c>
      <c r="D13" s="54"/>
      <c r="E13" s="55"/>
      <c r="F13" s="23" t="str">
        <f>INDEX(賞与計算!_xlnm.Print_Area,$A13,1)</f>
        <v>厚生年金</v>
      </c>
      <c r="G13" s="24">
        <f>INDEX(賞与計算!_xlnm.Print_Area,$A13,G$1+1)</f>
        <v>0</v>
      </c>
      <c r="H13" s="54"/>
      <c r="I13" s="55"/>
      <c r="J13" s="23" t="str">
        <f>INDEX(賞与計算!_xlnm.Print_Area,$A13,1)</f>
        <v>厚生年金</v>
      </c>
      <c r="K13" s="24">
        <f>INDEX(賞与計算!_xlnm.Print_Area,$A13,K$1+1)</f>
        <v>0</v>
      </c>
      <c r="L13" s="54"/>
      <c r="M13" s="55"/>
      <c r="N13" s="23" t="str">
        <f>INDEX(賞与計算!_xlnm.Print_Area,$A13,1)</f>
        <v>厚生年金</v>
      </c>
      <c r="O13" s="24">
        <f>INDEX(賞与計算!_xlnm.Print_Area,$A13,O$1+1)</f>
        <v>0</v>
      </c>
      <c r="P13" s="54"/>
      <c r="Q13" s="55"/>
      <c r="R13" s="23" t="str">
        <f>INDEX(賞与計算!_xlnm.Print_Area,$A13,1)</f>
        <v>厚生年金</v>
      </c>
      <c r="S13" s="24">
        <f>INDEX(賞与計算!_xlnm.Print_Area,$A13,S$1+1)</f>
        <v>0</v>
      </c>
      <c r="T13" s="54"/>
      <c r="U13" s="55"/>
      <c r="V13" s="23" t="str">
        <f>INDEX(賞与計算!_xlnm.Print_Area,$A13,1)</f>
        <v>厚生年金</v>
      </c>
      <c r="W13" s="24">
        <f>INDEX(賞与計算!_xlnm.Print_Area,$A13,W$1+1)</f>
        <v>0</v>
      </c>
      <c r="X13" s="54"/>
      <c r="Y13" s="55"/>
      <c r="Z13" s="23" t="str">
        <f>INDEX(賞与計算!_xlnm.Print_Area,$A13,1)</f>
        <v>厚生年金</v>
      </c>
      <c r="AA13" s="24">
        <f>INDEX(賞与計算!_xlnm.Print_Area,$A13,AA$1+1)</f>
        <v>0</v>
      </c>
      <c r="AB13" s="54"/>
      <c r="AC13" s="55"/>
      <c r="AD13" s="23" t="str">
        <f>INDEX(賞与計算!_xlnm.Print_Area,$A13,1)</f>
        <v>厚生年金</v>
      </c>
      <c r="AE13" s="24">
        <f>INDEX(賞与計算!_xlnm.Print_Area,$A13,AE$1+1)</f>
        <v>0</v>
      </c>
      <c r="AF13" s="54"/>
      <c r="AG13" s="55"/>
      <c r="AH13" s="23" t="str">
        <f>INDEX(賞与計算!_xlnm.Print_Area,$A13,1)</f>
        <v>厚生年金</v>
      </c>
      <c r="AI13" s="24">
        <f>INDEX(賞与計算!_xlnm.Print_Area,$A13,AI$1+1)</f>
        <v>0</v>
      </c>
      <c r="AJ13" s="54"/>
      <c r="AK13" s="55"/>
      <c r="AL13" s="23" t="str">
        <f>INDEX(賞与計算!_xlnm.Print_Area,$A13,1)</f>
        <v>厚生年金</v>
      </c>
      <c r="AM13" s="24">
        <f>INDEX(賞与計算!_xlnm.Print_Area,$A13,AM$1+1)</f>
        <v>0</v>
      </c>
      <c r="AN13" s="54"/>
    </row>
    <row r="14" spans="1:40" ht="18">
      <c r="A14" s="568">
        <v>21</v>
      </c>
      <c r="B14" s="31" t="str">
        <f>INDEX(賞与計算!_xlnm.Print_Area,$A14,1)</f>
        <v>雇用保険</v>
      </c>
      <c r="C14" s="24">
        <f>INDEX(賞与計算!_xlnm.Print_Area,$A14,C$1+1)</f>
        <v>0</v>
      </c>
      <c r="D14" s="54"/>
      <c r="E14" s="55"/>
      <c r="F14" s="31" t="str">
        <f>INDEX(賞与計算!_xlnm.Print_Area,$A14,1)</f>
        <v>雇用保険</v>
      </c>
      <c r="G14" s="24">
        <f>INDEX(賞与計算!_xlnm.Print_Area,$A14,G$1+1)</f>
        <v>0</v>
      </c>
      <c r="H14" s="54"/>
      <c r="I14" s="55"/>
      <c r="J14" s="31" t="str">
        <f>INDEX(賞与計算!_xlnm.Print_Area,$A14,1)</f>
        <v>雇用保険</v>
      </c>
      <c r="K14" s="24">
        <f>INDEX(賞与計算!_xlnm.Print_Area,$A14,K$1+1)</f>
        <v>0</v>
      </c>
      <c r="L14" s="54"/>
      <c r="M14" s="55"/>
      <c r="N14" s="31" t="str">
        <f>INDEX(賞与計算!_xlnm.Print_Area,$A14,1)</f>
        <v>雇用保険</v>
      </c>
      <c r="O14" s="24">
        <f>INDEX(賞与計算!_xlnm.Print_Area,$A14,O$1+1)</f>
        <v>0</v>
      </c>
      <c r="P14" s="54"/>
      <c r="Q14" s="55"/>
      <c r="R14" s="31" t="str">
        <f>INDEX(賞与計算!_xlnm.Print_Area,$A14,1)</f>
        <v>雇用保険</v>
      </c>
      <c r="S14" s="24">
        <f>INDEX(賞与計算!_xlnm.Print_Area,$A14,S$1+1)</f>
        <v>0</v>
      </c>
      <c r="T14" s="54"/>
      <c r="U14" s="55"/>
      <c r="V14" s="31" t="str">
        <f>INDEX(賞与計算!_xlnm.Print_Area,$A14,1)</f>
        <v>雇用保険</v>
      </c>
      <c r="W14" s="24">
        <f>INDEX(賞与計算!_xlnm.Print_Area,$A14,W$1+1)</f>
        <v>0</v>
      </c>
      <c r="X14" s="54"/>
      <c r="Y14" s="55"/>
      <c r="Z14" s="31" t="str">
        <f>INDEX(賞与計算!_xlnm.Print_Area,$A14,1)</f>
        <v>雇用保険</v>
      </c>
      <c r="AA14" s="24">
        <f>INDEX(賞与計算!_xlnm.Print_Area,$A14,AA$1+1)</f>
        <v>0</v>
      </c>
      <c r="AB14" s="54"/>
      <c r="AC14" s="55"/>
      <c r="AD14" s="31" t="str">
        <f>INDEX(賞与計算!_xlnm.Print_Area,$A14,1)</f>
        <v>雇用保険</v>
      </c>
      <c r="AE14" s="24">
        <f>INDEX(賞与計算!_xlnm.Print_Area,$A14,AE$1+1)</f>
        <v>0</v>
      </c>
      <c r="AF14" s="54"/>
      <c r="AG14" s="55"/>
      <c r="AH14" s="31" t="str">
        <f>INDEX(賞与計算!_xlnm.Print_Area,$A14,1)</f>
        <v>雇用保険</v>
      </c>
      <c r="AI14" s="24">
        <f>INDEX(賞与計算!_xlnm.Print_Area,$A14,AI$1+1)</f>
        <v>0</v>
      </c>
      <c r="AJ14" s="54"/>
      <c r="AK14" s="55"/>
      <c r="AL14" s="31" t="str">
        <f>INDEX(賞与計算!_xlnm.Print_Area,$A14,1)</f>
        <v>雇用保険</v>
      </c>
      <c r="AM14" s="24">
        <f>INDEX(賞与計算!_xlnm.Print_Area,$A14,AM$1+1)</f>
        <v>0</v>
      </c>
      <c r="AN14" s="54"/>
    </row>
    <row r="15" spans="1:40" ht="18">
      <c r="A15" s="568">
        <v>22</v>
      </c>
      <c r="B15" s="32" t="str">
        <f>INDEX(賞与計算!_xlnm.Print_Area,$A15,1)</f>
        <v>小計</v>
      </c>
      <c r="C15" s="33">
        <f ca="1">INDEX(賞与計算!_xlnm.Print_Area,$A15,C$1+1)</f>
        <v>0</v>
      </c>
      <c r="D15" s="54"/>
      <c r="E15" s="55"/>
      <c r="F15" s="32" t="str">
        <f>INDEX(賞与計算!_xlnm.Print_Area,$A15,1)</f>
        <v>小計</v>
      </c>
      <c r="G15" s="33">
        <f ca="1">INDEX(賞与計算!_xlnm.Print_Area,$A15,G$1+1)</f>
        <v>0</v>
      </c>
      <c r="H15" s="54"/>
      <c r="I15" s="55"/>
      <c r="J15" s="32" t="str">
        <f>INDEX(賞与計算!_xlnm.Print_Area,$A15,1)</f>
        <v>小計</v>
      </c>
      <c r="K15" s="33">
        <f ca="1">INDEX(賞与計算!_xlnm.Print_Area,$A15,K$1+1)</f>
        <v>0</v>
      </c>
      <c r="L15" s="54"/>
      <c r="M15" s="55"/>
      <c r="N15" s="32" t="str">
        <f>INDEX(賞与計算!_xlnm.Print_Area,$A15,1)</f>
        <v>小計</v>
      </c>
      <c r="O15" s="33">
        <f ca="1">INDEX(賞与計算!_xlnm.Print_Area,$A15,O$1+1)</f>
        <v>0</v>
      </c>
      <c r="P15" s="54"/>
      <c r="Q15" s="55"/>
      <c r="R15" s="32" t="str">
        <f>INDEX(賞与計算!_xlnm.Print_Area,$A15,1)</f>
        <v>小計</v>
      </c>
      <c r="S15" s="33">
        <f ca="1">INDEX(賞与計算!_xlnm.Print_Area,$A15,S$1+1)</f>
        <v>0</v>
      </c>
      <c r="T15" s="54"/>
      <c r="U15" s="55"/>
      <c r="V15" s="32" t="str">
        <f>INDEX(賞与計算!_xlnm.Print_Area,$A15,1)</f>
        <v>小計</v>
      </c>
      <c r="W15" s="33">
        <f>INDEX(賞与計算!_xlnm.Print_Area,$A15,W$1+1)</f>
        <v>0</v>
      </c>
      <c r="X15" s="54"/>
      <c r="Y15" s="55"/>
      <c r="Z15" s="32" t="str">
        <f>INDEX(賞与計算!_xlnm.Print_Area,$A15,1)</f>
        <v>小計</v>
      </c>
      <c r="AA15" s="33">
        <f ca="1">INDEX(賞与計算!_xlnm.Print_Area,$A15,AA$1+1)</f>
        <v>0</v>
      </c>
      <c r="AB15" s="54"/>
      <c r="AC15" s="55"/>
      <c r="AD15" s="32" t="str">
        <f>INDEX(賞与計算!_xlnm.Print_Area,$A15,1)</f>
        <v>小計</v>
      </c>
      <c r="AE15" s="33">
        <f ca="1">INDEX(賞与計算!_xlnm.Print_Area,$A15,AE$1+1)</f>
        <v>0</v>
      </c>
      <c r="AF15" s="54"/>
      <c r="AG15" s="55"/>
      <c r="AH15" s="32" t="str">
        <f>INDEX(賞与計算!_xlnm.Print_Area,$A15,1)</f>
        <v>小計</v>
      </c>
      <c r="AI15" s="33">
        <f>INDEX(賞与計算!_xlnm.Print_Area,$A15,AI$1+1)</f>
        <v>0</v>
      </c>
      <c r="AJ15" s="54"/>
      <c r="AK15" s="55"/>
      <c r="AL15" s="32" t="str">
        <f>INDEX(賞与計算!_xlnm.Print_Area,$A15,1)</f>
        <v>小計</v>
      </c>
      <c r="AM15" s="33">
        <f>INDEX(賞与計算!_xlnm.Print_Area,$A15,AM$1+1)</f>
        <v>0</v>
      </c>
      <c r="AN15" s="54"/>
    </row>
    <row r="16" spans="1:40" ht="18">
      <c r="A16" s="568">
        <v>25</v>
      </c>
      <c r="B16" s="43" t="str">
        <f>INDEX(賞与計算!_xlnm.Print_Area,$A16,1)</f>
        <v>源泉所得税</v>
      </c>
      <c r="C16" s="34">
        <f ca="1">INDEX(賞与計算!_xlnm.Print_Area,$A16,C$1+1)</f>
        <v>0</v>
      </c>
      <c r="D16" s="54"/>
      <c r="E16" s="55"/>
      <c r="F16" s="43" t="str">
        <f>INDEX(賞与計算!_xlnm.Print_Area,$A16,1)</f>
        <v>源泉所得税</v>
      </c>
      <c r="G16" s="34">
        <f ca="1">INDEX(賞与計算!_xlnm.Print_Area,$A16,G$1+1)</f>
        <v>0</v>
      </c>
      <c r="H16" s="54"/>
      <c r="I16" s="55"/>
      <c r="J16" s="43" t="str">
        <f>INDEX(賞与計算!_xlnm.Print_Area,$A16,1)</f>
        <v>源泉所得税</v>
      </c>
      <c r="K16" s="34">
        <f ca="1">INDEX(賞与計算!_xlnm.Print_Area,$A16,K$1+1)</f>
        <v>0</v>
      </c>
      <c r="L16" s="54"/>
      <c r="M16" s="55"/>
      <c r="N16" s="43" t="str">
        <f>INDEX(賞与計算!_xlnm.Print_Area,$A16,1)</f>
        <v>源泉所得税</v>
      </c>
      <c r="O16" s="34">
        <f ca="1">INDEX(賞与計算!_xlnm.Print_Area,$A16,O$1+1)</f>
        <v>0</v>
      </c>
      <c r="P16" s="54"/>
      <c r="Q16" s="55"/>
      <c r="R16" s="43" t="str">
        <f>INDEX(賞与計算!_xlnm.Print_Area,$A16,1)</f>
        <v>源泉所得税</v>
      </c>
      <c r="S16" s="34">
        <f ca="1">INDEX(賞与計算!_xlnm.Print_Area,$A16,S$1+1)</f>
        <v>0</v>
      </c>
      <c r="T16" s="54"/>
      <c r="U16" s="55"/>
      <c r="V16" s="43" t="str">
        <f>INDEX(賞与計算!_xlnm.Print_Area,$A16,1)</f>
        <v>源泉所得税</v>
      </c>
      <c r="W16" s="34">
        <f>INDEX(賞与計算!_xlnm.Print_Area,$A16,W$1+1)</f>
        <v>0</v>
      </c>
      <c r="X16" s="54"/>
      <c r="Y16" s="55"/>
      <c r="Z16" s="43" t="str">
        <f>INDEX(賞与計算!_xlnm.Print_Area,$A16,1)</f>
        <v>源泉所得税</v>
      </c>
      <c r="AA16" s="34">
        <f ca="1">INDEX(賞与計算!_xlnm.Print_Area,$A16,AA$1+1)</f>
        <v>0</v>
      </c>
      <c r="AB16" s="54"/>
      <c r="AC16" s="55"/>
      <c r="AD16" s="43" t="str">
        <f>INDEX(賞与計算!_xlnm.Print_Area,$A16,1)</f>
        <v>源泉所得税</v>
      </c>
      <c r="AE16" s="34">
        <f ca="1">INDEX(賞与計算!_xlnm.Print_Area,$A16,AE$1+1)</f>
        <v>0</v>
      </c>
      <c r="AF16" s="54"/>
      <c r="AG16" s="55"/>
      <c r="AH16" s="43" t="str">
        <f>INDEX(賞与計算!_xlnm.Print_Area,$A16,1)</f>
        <v>源泉所得税</v>
      </c>
      <c r="AI16" s="34">
        <f>INDEX(賞与計算!_xlnm.Print_Area,$A16,AI$1+1)</f>
        <v>0</v>
      </c>
      <c r="AJ16" s="54"/>
      <c r="AK16" s="55"/>
      <c r="AL16" s="43" t="str">
        <f>INDEX(賞与計算!_xlnm.Print_Area,$A16,1)</f>
        <v>源泉所得税</v>
      </c>
      <c r="AM16" s="34">
        <f>INDEX(賞与計算!_xlnm.Print_Area,$A16,AM$1+1)</f>
        <v>0</v>
      </c>
      <c r="AN16" s="54"/>
    </row>
    <row r="17" spans="1:40" ht="19" thickBot="1">
      <c r="A17" s="568">
        <v>26</v>
      </c>
      <c r="B17" s="25" t="str">
        <f>INDEX(賞与計算!_xlnm.Print_Area,$A17,1)</f>
        <v>控除合計</v>
      </c>
      <c r="C17" s="26">
        <f ca="1">INDEX(賞与計算!_xlnm.Print_Area,$A17,C$1+1)</f>
        <v>0</v>
      </c>
      <c r="D17" s="54"/>
      <c r="E17" s="55"/>
      <c r="F17" s="25" t="str">
        <f>INDEX(賞与計算!_xlnm.Print_Area,$A17,1)</f>
        <v>控除合計</v>
      </c>
      <c r="G17" s="26">
        <f ca="1">INDEX(賞与計算!_xlnm.Print_Area,$A17,G$1+1)</f>
        <v>0</v>
      </c>
      <c r="H17" s="54"/>
      <c r="I17" s="55"/>
      <c r="J17" s="25" t="str">
        <f>INDEX(賞与計算!_xlnm.Print_Area,$A17,1)</f>
        <v>控除合計</v>
      </c>
      <c r="K17" s="26">
        <f ca="1">INDEX(賞与計算!_xlnm.Print_Area,$A17,K$1+1)</f>
        <v>0</v>
      </c>
      <c r="L17" s="54"/>
      <c r="M17" s="55"/>
      <c r="N17" s="25" t="str">
        <f>INDEX(賞与計算!_xlnm.Print_Area,$A17,1)</f>
        <v>控除合計</v>
      </c>
      <c r="O17" s="26">
        <f ca="1">INDEX(賞与計算!_xlnm.Print_Area,$A17,O$1+1)</f>
        <v>0</v>
      </c>
      <c r="P17" s="54"/>
      <c r="Q17" s="55"/>
      <c r="R17" s="25" t="str">
        <f>INDEX(賞与計算!_xlnm.Print_Area,$A17,1)</f>
        <v>控除合計</v>
      </c>
      <c r="S17" s="26">
        <f ca="1">INDEX(賞与計算!_xlnm.Print_Area,$A17,S$1+1)</f>
        <v>0</v>
      </c>
      <c r="T17" s="54"/>
      <c r="U17" s="55"/>
      <c r="V17" s="25" t="str">
        <f>INDEX(賞与計算!_xlnm.Print_Area,$A17,1)</f>
        <v>控除合計</v>
      </c>
      <c r="W17" s="26">
        <f>INDEX(賞与計算!_xlnm.Print_Area,$A17,W$1+1)</f>
        <v>0</v>
      </c>
      <c r="X17" s="54"/>
      <c r="Y17" s="55"/>
      <c r="Z17" s="25" t="str">
        <f>INDEX(賞与計算!_xlnm.Print_Area,$A17,1)</f>
        <v>控除合計</v>
      </c>
      <c r="AA17" s="26">
        <f ca="1">INDEX(賞与計算!_xlnm.Print_Area,$A17,AA$1+1)</f>
        <v>0</v>
      </c>
      <c r="AB17" s="54"/>
      <c r="AC17" s="55"/>
      <c r="AD17" s="25" t="str">
        <f>INDEX(賞与計算!_xlnm.Print_Area,$A17,1)</f>
        <v>控除合計</v>
      </c>
      <c r="AE17" s="26">
        <f ca="1">INDEX(賞与計算!_xlnm.Print_Area,$A17,AE$1+1)</f>
        <v>0</v>
      </c>
      <c r="AF17" s="54"/>
      <c r="AG17" s="55"/>
      <c r="AH17" s="25" t="str">
        <f>INDEX(賞与計算!_xlnm.Print_Area,$A17,1)</f>
        <v>控除合計</v>
      </c>
      <c r="AI17" s="26">
        <f>INDEX(賞与計算!_xlnm.Print_Area,$A17,AI$1+1)</f>
        <v>0</v>
      </c>
      <c r="AJ17" s="54"/>
      <c r="AK17" s="55"/>
      <c r="AL17" s="25" t="str">
        <f>INDEX(賞与計算!_xlnm.Print_Area,$A17,1)</f>
        <v>控除合計</v>
      </c>
      <c r="AM17" s="26">
        <f>INDEX(賞与計算!_xlnm.Print_Area,$A17,AM$1+1)</f>
        <v>0</v>
      </c>
      <c r="AN17" s="54"/>
    </row>
    <row r="18" spans="1:40" ht="19" thickBot="1">
      <c r="A18" s="568"/>
      <c r="B18" s="35"/>
      <c r="C18" s="36"/>
      <c r="D18" s="54"/>
      <c r="E18" s="55"/>
      <c r="F18" s="35"/>
      <c r="G18" s="36"/>
      <c r="H18" s="54"/>
      <c r="I18" s="55"/>
      <c r="J18" s="35"/>
      <c r="K18" s="36"/>
      <c r="L18" s="54"/>
      <c r="M18" s="55"/>
      <c r="N18" s="35"/>
      <c r="O18" s="36"/>
      <c r="P18" s="54"/>
      <c r="Q18" s="55"/>
      <c r="R18" s="35"/>
      <c r="S18" s="36"/>
      <c r="T18" s="54"/>
      <c r="U18" s="55"/>
      <c r="V18" s="35"/>
      <c r="W18" s="36"/>
      <c r="X18" s="54"/>
      <c r="Y18" s="55"/>
      <c r="Z18" s="35"/>
      <c r="AA18" s="36"/>
      <c r="AB18" s="54"/>
      <c r="AC18" s="55"/>
      <c r="AD18" s="35"/>
      <c r="AE18" s="36"/>
      <c r="AF18" s="54"/>
      <c r="AG18" s="55"/>
      <c r="AH18" s="35"/>
      <c r="AI18" s="36"/>
      <c r="AJ18" s="54"/>
      <c r="AK18" s="55"/>
      <c r="AL18" s="35"/>
      <c r="AM18" s="36"/>
      <c r="AN18" s="54"/>
    </row>
    <row r="19" spans="1:40" ht="19" thickBot="1">
      <c r="A19" s="568">
        <v>28</v>
      </c>
      <c r="B19" s="42" t="str">
        <f>INDEX(賞与計算!_xlnm.Print_Area,$A19,1)</f>
        <v>差引支給額</v>
      </c>
      <c r="C19" s="37">
        <f ca="1">INDEX(賞与計算!_xlnm.Print_Area,$A19,C$1+1)</f>
        <v>0</v>
      </c>
      <c r="D19" s="54"/>
      <c r="E19" s="55"/>
      <c r="F19" s="42" t="str">
        <f>INDEX(賞与計算!_xlnm.Print_Area,$A19,1)</f>
        <v>差引支給額</v>
      </c>
      <c r="G19" s="37">
        <f ca="1">INDEX(賞与計算!_xlnm.Print_Area,$A19,G$1+1)</f>
        <v>0</v>
      </c>
      <c r="H19" s="54"/>
      <c r="I19" s="55"/>
      <c r="J19" s="42" t="str">
        <f>INDEX(賞与計算!_xlnm.Print_Area,$A19,1)</f>
        <v>差引支給額</v>
      </c>
      <c r="K19" s="37">
        <f ca="1">INDEX(賞与計算!_xlnm.Print_Area,$A19,K$1+1)</f>
        <v>0</v>
      </c>
      <c r="L19" s="54"/>
      <c r="M19" s="55"/>
      <c r="N19" s="42" t="str">
        <f>INDEX(賞与計算!_xlnm.Print_Area,$A19,1)</f>
        <v>差引支給額</v>
      </c>
      <c r="O19" s="37">
        <f ca="1">INDEX(賞与計算!_xlnm.Print_Area,$A19,O$1+1)</f>
        <v>0</v>
      </c>
      <c r="P19" s="54"/>
      <c r="Q19" s="55"/>
      <c r="R19" s="42" t="str">
        <f>INDEX(賞与計算!_xlnm.Print_Area,$A19,1)</f>
        <v>差引支給額</v>
      </c>
      <c r="S19" s="37">
        <f ca="1">INDEX(賞与計算!_xlnm.Print_Area,$A19,S$1+1)</f>
        <v>0</v>
      </c>
      <c r="T19" s="54"/>
      <c r="U19" s="55"/>
      <c r="V19" s="42" t="str">
        <f>INDEX(賞与計算!_xlnm.Print_Area,$A19,1)</f>
        <v>差引支給額</v>
      </c>
      <c r="W19" s="37">
        <f>INDEX(賞与計算!_xlnm.Print_Area,$A19,W$1+1)</f>
        <v>0</v>
      </c>
      <c r="X19" s="54"/>
      <c r="Y19" s="55"/>
      <c r="Z19" s="42" t="str">
        <f>INDEX(賞与計算!_xlnm.Print_Area,$A19,1)</f>
        <v>差引支給額</v>
      </c>
      <c r="AA19" s="37">
        <f ca="1">INDEX(賞与計算!_xlnm.Print_Area,$A19,AA$1+1)</f>
        <v>0</v>
      </c>
      <c r="AB19" s="54"/>
      <c r="AC19" s="55"/>
      <c r="AD19" s="42" t="str">
        <f>INDEX(賞与計算!_xlnm.Print_Area,$A19,1)</f>
        <v>差引支給額</v>
      </c>
      <c r="AE19" s="37">
        <f ca="1">INDEX(賞与計算!_xlnm.Print_Area,$A19,AE$1+1)</f>
        <v>0</v>
      </c>
      <c r="AF19" s="54"/>
      <c r="AG19" s="55"/>
      <c r="AH19" s="42" t="str">
        <f>INDEX(賞与計算!_xlnm.Print_Area,$A19,1)</f>
        <v>差引支給額</v>
      </c>
      <c r="AI19" s="37">
        <f>INDEX(賞与計算!_xlnm.Print_Area,$A19,AI$1+1)</f>
        <v>0</v>
      </c>
      <c r="AJ19" s="54"/>
      <c r="AK19" s="55"/>
      <c r="AL19" s="42" t="str">
        <f>INDEX(賞与計算!_xlnm.Print_Area,$A19,1)</f>
        <v>差引支給額</v>
      </c>
      <c r="AM19" s="37">
        <f>INDEX(賞与計算!_xlnm.Print_Area,$A19,AM$1+1)</f>
        <v>0</v>
      </c>
      <c r="AN19" s="54"/>
    </row>
    <row r="20" spans="1:40" ht="18" thickBot="1">
      <c r="B20" s="11"/>
      <c r="C20" s="11"/>
      <c r="D20" s="58"/>
      <c r="E20" s="59"/>
      <c r="F20" s="11"/>
      <c r="G20" s="11"/>
      <c r="H20" s="58"/>
      <c r="I20" s="59"/>
      <c r="J20" s="11"/>
      <c r="K20" s="11"/>
      <c r="L20" s="58"/>
      <c r="M20" s="59"/>
      <c r="N20" s="11"/>
      <c r="O20" s="11"/>
      <c r="P20" s="58"/>
      <c r="Q20" s="59"/>
      <c r="R20" s="11"/>
      <c r="S20" s="11"/>
      <c r="T20" s="58"/>
      <c r="U20" s="59"/>
      <c r="V20" s="11"/>
      <c r="W20" s="11"/>
      <c r="X20" s="58"/>
      <c r="Y20" s="59"/>
      <c r="Z20" s="11"/>
      <c r="AA20" s="11"/>
      <c r="AB20" s="58"/>
      <c r="AC20" s="59"/>
      <c r="AD20" s="11"/>
      <c r="AE20" s="11"/>
      <c r="AF20" s="58"/>
      <c r="AG20" s="59"/>
      <c r="AH20" s="11"/>
      <c r="AI20" s="11"/>
      <c r="AJ20" s="58"/>
      <c r="AK20" s="59"/>
      <c r="AL20" s="11"/>
      <c r="AM20" s="11"/>
      <c r="AN20" s="58"/>
    </row>
    <row r="21" spans="1:40" ht="18">
      <c r="B21" s="626" t="s">
        <v>239</v>
      </c>
      <c r="C21" s="627"/>
      <c r="D21" s="60"/>
      <c r="E21" s="61"/>
      <c r="F21" s="626" t="s">
        <v>239</v>
      </c>
      <c r="G21" s="627"/>
      <c r="H21" s="60"/>
      <c r="I21" s="61"/>
      <c r="J21" s="626" t="s">
        <v>239</v>
      </c>
      <c r="K21" s="627"/>
      <c r="L21" s="60"/>
      <c r="M21" s="61"/>
      <c r="N21" s="626" t="s">
        <v>239</v>
      </c>
      <c r="O21" s="627"/>
      <c r="P21" s="60"/>
      <c r="Q21" s="61"/>
      <c r="R21" s="626" t="s">
        <v>239</v>
      </c>
      <c r="S21" s="627"/>
      <c r="T21" s="60"/>
      <c r="U21" s="61"/>
      <c r="V21" s="626" t="s">
        <v>239</v>
      </c>
      <c r="W21" s="627"/>
      <c r="X21" s="60"/>
      <c r="Y21" s="61"/>
      <c r="Z21" s="626" t="s">
        <v>239</v>
      </c>
      <c r="AA21" s="627"/>
      <c r="AB21" s="60"/>
      <c r="AC21" s="61"/>
      <c r="AD21" s="626" t="s">
        <v>239</v>
      </c>
      <c r="AE21" s="627"/>
      <c r="AF21" s="60"/>
      <c r="AG21" s="61"/>
      <c r="AH21" s="626" t="s">
        <v>239</v>
      </c>
      <c r="AI21" s="627"/>
      <c r="AJ21" s="60"/>
      <c r="AK21" s="61"/>
      <c r="AL21" s="626" t="s">
        <v>239</v>
      </c>
      <c r="AM21" s="627"/>
      <c r="AN21" s="60"/>
    </row>
    <row r="22" spans="1:40">
      <c r="B22" s="38">
        <v>10000</v>
      </c>
      <c r="C22" s="39">
        <f ca="1">賞与計算!C34</f>
        <v>0</v>
      </c>
      <c r="D22" s="62"/>
      <c r="E22" s="63"/>
      <c r="F22" s="38">
        <v>10000</v>
      </c>
      <c r="G22" s="39">
        <f ca="1">賞与計算!D34</f>
        <v>0</v>
      </c>
      <c r="H22" s="62"/>
      <c r="I22" s="63"/>
      <c r="J22" s="38">
        <v>10000</v>
      </c>
      <c r="K22" s="39">
        <f ca="1">賞与計算!E34</f>
        <v>0</v>
      </c>
      <c r="L22" s="62"/>
      <c r="M22" s="63"/>
      <c r="N22" s="38">
        <v>10000</v>
      </c>
      <c r="O22" s="39">
        <f ca="1">賞与計算!J34</f>
        <v>0</v>
      </c>
      <c r="P22" s="62"/>
      <c r="Q22" s="63"/>
      <c r="R22" s="38">
        <v>10000</v>
      </c>
      <c r="S22" s="39">
        <f>賞与計算!K34</f>
        <v>0</v>
      </c>
      <c r="T22" s="62"/>
      <c r="U22" s="63"/>
      <c r="V22" s="38">
        <v>10000</v>
      </c>
      <c r="W22" s="39">
        <f>賞与計算!L34</f>
        <v>0</v>
      </c>
      <c r="X22" s="62"/>
      <c r="Y22" s="63"/>
      <c r="Z22" s="38">
        <v>10000</v>
      </c>
      <c r="AA22" s="39">
        <f>賞与計算!P34</f>
        <v>0</v>
      </c>
      <c r="AB22" s="62"/>
      <c r="AC22" s="63"/>
      <c r="AD22" s="38">
        <v>10000</v>
      </c>
      <c r="AE22" s="39">
        <f>賞与計算!T34</f>
        <v>0</v>
      </c>
      <c r="AF22" s="62"/>
      <c r="AG22" s="63"/>
      <c r="AH22" s="38">
        <v>10000</v>
      </c>
      <c r="AI22" s="39">
        <f>賞与計算!X34</f>
        <v>0</v>
      </c>
      <c r="AJ22" s="62"/>
      <c r="AK22" s="63"/>
      <c r="AL22" s="38">
        <v>10000</v>
      </c>
      <c r="AM22" s="39">
        <f>賞与計算!AB34</f>
        <v>0</v>
      </c>
      <c r="AN22" s="62"/>
    </row>
    <row r="23" spans="1:40">
      <c r="B23" s="38">
        <v>5000</v>
      </c>
      <c r="C23" s="39">
        <f ca="1">賞与計算!C36</f>
        <v>0</v>
      </c>
      <c r="D23" s="62"/>
      <c r="E23" s="63"/>
      <c r="F23" s="38">
        <v>5000</v>
      </c>
      <c r="G23" s="39">
        <f ca="1">賞与計算!D36</f>
        <v>0</v>
      </c>
      <c r="H23" s="62"/>
      <c r="I23" s="63"/>
      <c r="J23" s="38">
        <v>5000</v>
      </c>
      <c r="K23" s="39">
        <f ca="1">賞与計算!E36</f>
        <v>0</v>
      </c>
      <c r="L23" s="62"/>
      <c r="M23" s="63"/>
      <c r="N23" s="38">
        <v>5000</v>
      </c>
      <c r="O23" s="39">
        <f ca="1">賞与計算!J36</f>
        <v>0</v>
      </c>
      <c r="P23" s="62"/>
      <c r="Q23" s="63"/>
      <c r="R23" s="38">
        <v>5000</v>
      </c>
      <c r="S23" s="39">
        <f>賞与計算!K36</f>
        <v>0</v>
      </c>
      <c r="T23" s="62"/>
      <c r="U23" s="63"/>
      <c r="V23" s="38">
        <v>5000</v>
      </c>
      <c r="W23" s="39">
        <f>賞与計算!L36</f>
        <v>0</v>
      </c>
      <c r="X23" s="62"/>
      <c r="Y23" s="63"/>
      <c r="Z23" s="38">
        <v>5000</v>
      </c>
      <c r="AA23" s="39">
        <f>賞与計算!P36</f>
        <v>0</v>
      </c>
      <c r="AB23" s="62"/>
      <c r="AC23" s="63"/>
      <c r="AD23" s="38">
        <v>5000</v>
      </c>
      <c r="AE23" s="39">
        <f>賞与計算!T36</f>
        <v>0</v>
      </c>
      <c r="AF23" s="62"/>
      <c r="AG23" s="63"/>
      <c r="AH23" s="38">
        <v>5000</v>
      </c>
      <c r="AI23" s="39">
        <f>賞与計算!X36</f>
        <v>0</v>
      </c>
      <c r="AJ23" s="62"/>
      <c r="AK23" s="63"/>
      <c r="AL23" s="38">
        <v>5000</v>
      </c>
      <c r="AM23" s="39">
        <f>賞与計算!AB36</f>
        <v>0</v>
      </c>
      <c r="AN23" s="62"/>
    </row>
    <row r="24" spans="1:40">
      <c r="B24" s="38">
        <v>2000</v>
      </c>
      <c r="C24" s="39">
        <f ca="1">賞与計算!C38</f>
        <v>0</v>
      </c>
      <c r="D24" s="62"/>
      <c r="E24" s="63"/>
      <c r="F24" s="38">
        <v>2000</v>
      </c>
      <c r="G24" s="39">
        <f ca="1">賞与計算!D38</f>
        <v>0</v>
      </c>
      <c r="H24" s="62"/>
      <c r="I24" s="63"/>
      <c r="J24" s="38">
        <v>2000</v>
      </c>
      <c r="K24" s="39">
        <f ca="1">賞与計算!E38</f>
        <v>0</v>
      </c>
      <c r="L24" s="62"/>
      <c r="M24" s="63"/>
      <c r="N24" s="38">
        <v>2000</v>
      </c>
      <c r="O24" s="39">
        <f ca="1">賞与計算!J38</f>
        <v>0</v>
      </c>
      <c r="P24" s="62"/>
      <c r="Q24" s="63"/>
      <c r="R24" s="38">
        <v>2000</v>
      </c>
      <c r="S24" s="39">
        <f>賞与計算!K38</f>
        <v>0</v>
      </c>
      <c r="T24" s="62"/>
      <c r="U24" s="63"/>
      <c r="V24" s="38">
        <v>2000</v>
      </c>
      <c r="W24" s="39">
        <f>賞与計算!L38</f>
        <v>0</v>
      </c>
      <c r="X24" s="62"/>
      <c r="Y24" s="63"/>
      <c r="Z24" s="38">
        <v>2000</v>
      </c>
      <c r="AA24" s="39">
        <f>賞与計算!P38</f>
        <v>0</v>
      </c>
      <c r="AB24" s="62"/>
      <c r="AC24" s="63"/>
      <c r="AD24" s="38">
        <v>2000</v>
      </c>
      <c r="AE24" s="39">
        <f>賞与計算!T38</f>
        <v>0</v>
      </c>
      <c r="AF24" s="62"/>
      <c r="AG24" s="63"/>
      <c r="AH24" s="38">
        <v>2000</v>
      </c>
      <c r="AI24" s="39">
        <f>賞与計算!X38</f>
        <v>0</v>
      </c>
      <c r="AJ24" s="62"/>
      <c r="AK24" s="63"/>
      <c r="AL24" s="38">
        <v>2000</v>
      </c>
      <c r="AM24" s="39">
        <f>賞与計算!AB38</f>
        <v>0</v>
      </c>
      <c r="AN24" s="62"/>
    </row>
    <row r="25" spans="1:40">
      <c r="B25" s="38">
        <v>1000</v>
      </c>
      <c r="C25" s="39">
        <f ca="1">賞与計算!C40</f>
        <v>0</v>
      </c>
      <c r="D25" s="62"/>
      <c r="E25" s="63"/>
      <c r="F25" s="38">
        <v>1000</v>
      </c>
      <c r="G25" s="39">
        <f ca="1">賞与計算!D40</f>
        <v>0</v>
      </c>
      <c r="H25" s="62"/>
      <c r="I25" s="63"/>
      <c r="J25" s="38">
        <v>1000</v>
      </c>
      <c r="K25" s="39">
        <f ca="1">賞与計算!E40</f>
        <v>0</v>
      </c>
      <c r="L25" s="62"/>
      <c r="M25" s="63"/>
      <c r="N25" s="38">
        <v>1000</v>
      </c>
      <c r="O25" s="39">
        <f ca="1">賞与計算!J40</f>
        <v>0</v>
      </c>
      <c r="P25" s="62"/>
      <c r="Q25" s="63"/>
      <c r="R25" s="38">
        <v>1000</v>
      </c>
      <c r="S25" s="39">
        <f>賞与計算!K40</f>
        <v>0</v>
      </c>
      <c r="T25" s="62"/>
      <c r="U25" s="63"/>
      <c r="V25" s="38">
        <v>1000</v>
      </c>
      <c r="W25" s="39">
        <f>賞与計算!L40</f>
        <v>0</v>
      </c>
      <c r="X25" s="62"/>
      <c r="Y25" s="63"/>
      <c r="Z25" s="38">
        <v>1000</v>
      </c>
      <c r="AA25" s="39">
        <f>賞与計算!P40</f>
        <v>0</v>
      </c>
      <c r="AB25" s="62"/>
      <c r="AC25" s="63"/>
      <c r="AD25" s="38">
        <v>1000</v>
      </c>
      <c r="AE25" s="39">
        <f>賞与計算!T40</f>
        <v>0</v>
      </c>
      <c r="AF25" s="62"/>
      <c r="AG25" s="63"/>
      <c r="AH25" s="38">
        <v>1000</v>
      </c>
      <c r="AI25" s="39">
        <f>賞与計算!X40</f>
        <v>0</v>
      </c>
      <c r="AJ25" s="62"/>
      <c r="AK25" s="63"/>
      <c r="AL25" s="38">
        <v>1000</v>
      </c>
      <c r="AM25" s="39">
        <f>賞与計算!AB40</f>
        <v>0</v>
      </c>
      <c r="AN25" s="62"/>
    </row>
    <row r="26" spans="1:40">
      <c r="B26" s="38">
        <v>500</v>
      </c>
      <c r="C26" s="39">
        <f ca="1">賞与計算!C42</f>
        <v>0</v>
      </c>
      <c r="D26" s="62"/>
      <c r="E26" s="63"/>
      <c r="F26" s="38">
        <v>500</v>
      </c>
      <c r="G26" s="39">
        <f ca="1">賞与計算!D42</f>
        <v>0</v>
      </c>
      <c r="H26" s="62"/>
      <c r="I26" s="63"/>
      <c r="J26" s="38">
        <v>500</v>
      </c>
      <c r="K26" s="39">
        <f ca="1">賞与計算!E42</f>
        <v>0</v>
      </c>
      <c r="L26" s="62"/>
      <c r="M26" s="63"/>
      <c r="N26" s="38">
        <v>500</v>
      </c>
      <c r="O26" s="39">
        <f ca="1">賞与計算!J42</f>
        <v>0</v>
      </c>
      <c r="P26" s="62"/>
      <c r="Q26" s="63"/>
      <c r="R26" s="38">
        <v>500</v>
      </c>
      <c r="S26" s="39">
        <f>賞与計算!K42</f>
        <v>0</v>
      </c>
      <c r="T26" s="62"/>
      <c r="U26" s="63"/>
      <c r="V26" s="38">
        <v>500</v>
      </c>
      <c r="W26" s="39">
        <f>賞与計算!L42</f>
        <v>0</v>
      </c>
      <c r="X26" s="62"/>
      <c r="Y26" s="63"/>
      <c r="Z26" s="38">
        <v>500</v>
      </c>
      <c r="AA26" s="39">
        <f>賞与計算!P42</f>
        <v>0</v>
      </c>
      <c r="AB26" s="62"/>
      <c r="AC26" s="63"/>
      <c r="AD26" s="38">
        <v>500</v>
      </c>
      <c r="AE26" s="39">
        <f>賞与計算!T42</f>
        <v>0</v>
      </c>
      <c r="AF26" s="62"/>
      <c r="AG26" s="63"/>
      <c r="AH26" s="38">
        <v>500</v>
      </c>
      <c r="AI26" s="39">
        <f>賞与計算!X42</f>
        <v>0</v>
      </c>
      <c r="AJ26" s="62"/>
      <c r="AK26" s="63"/>
      <c r="AL26" s="38">
        <v>500</v>
      </c>
      <c r="AM26" s="39">
        <f>賞与計算!AB42</f>
        <v>0</v>
      </c>
      <c r="AN26" s="62"/>
    </row>
    <row r="27" spans="1:40">
      <c r="B27" s="38">
        <v>100</v>
      </c>
      <c r="C27" s="39">
        <f ca="1">賞与計算!C44</f>
        <v>0</v>
      </c>
      <c r="D27" s="62"/>
      <c r="E27" s="63"/>
      <c r="F27" s="38">
        <v>100</v>
      </c>
      <c r="G27" s="39">
        <f ca="1">賞与計算!D44</f>
        <v>0</v>
      </c>
      <c r="H27" s="62"/>
      <c r="I27" s="63"/>
      <c r="J27" s="38">
        <v>100</v>
      </c>
      <c r="K27" s="39">
        <f ca="1">賞与計算!E44</f>
        <v>0</v>
      </c>
      <c r="L27" s="62"/>
      <c r="M27" s="63"/>
      <c r="N27" s="38">
        <v>100</v>
      </c>
      <c r="O27" s="39">
        <f ca="1">賞与計算!J44</f>
        <v>0</v>
      </c>
      <c r="P27" s="62"/>
      <c r="Q27" s="63"/>
      <c r="R27" s="38">
        <v>100</v>
      </c>
      <c r="S27" s="39">
        <f>賞与計算!K44</f>
        <v>0</v>
      </c>
      <c r="T27" s="62"/>
      <c r="U27" s="63"/>
      <c r="V27" s="38">
        <v>100</v>
      </c>
      <c r="W27" s="39">
        <f>賞与計算!L44</f>
        <v>0</v>
      </c>
      <c r="X27" s="62"/>
      <c r="Y27" s="63"/>
      <c r="Z27" s="38">
        <v>100</v>
      </c>
      <c r="AA27" s="39">
        <f>賞与計算!P44</f>
        <v>0</v>
      </c>
      <c r="AB27" s="62"/>
      <c r="AC27" s="63"/>
      <c r="AD27" s="38">
        <v>100</v>
      </c>
      <c r="AE27" s="39">
        <f>賞与計算!T44</f>
        <v>0</v>
      </c>
      <c r="AF27" s="62"/>
      <c r="AG27" s="63"/>
      <c r="AH27" s="38">
        <v>100</v>
      </c>
      <c r="AI27" s="39">
        <f>賞与計算!X44</f>
        <v>0</v>
      </c>
      <c r="AJ27" s="62"/>
      <c r="AK27" s="63"/>
      <c r="AL27" s="38">
        <v>100</v>
      </c>
      <c r="AM27" s="39">
        <f>賞与計算!AB44</f>
        <v>0</v>
      </c>
      <c r="AN27" s="62"/>
    </row>
    <row r="28" spans="1:40">
      <c r="B28" s="38">
        <v>50</v>
      </c>
      <c r="C28" s="39">
        <f ca="1">賞与計算!C46</f>
        <v>0</v>
      </c>
      <c r="D28" s="62"/>
      <c r="E28" s="63"/>
      <c r="F28" s="38">
        <v>50</v>
      </c>
      <c r="G28" s="39">
        <f ca="1">賞与計算!D46</f>
        <v>0</v>
      </c>
      <c r="H28" s="62"/>
      <c r="I28" s="63"/>
      <c r="J28" s="38">
        <v>50</v>
      </c>
      <c r="K28" s="39">
        <f ca="1">賞与計算!E46</f>
        <v>0</v>
      </c>
      <c r="L28" s="62"/>
      <c r="M28" s="63"/>
      <c r="N28" s="38">
        <v>50</v>
      </c>
      <c r="O28" s="39">
        <f ca="1">賞与計算!J46</f>
        <v>0</v>
      </c>
      <c r="P28" s="62"/>
      <c r="Q28" s="63"/>
      <c r="R28" s="38">
        <v>50</v>
      </c>
      <c r="S28" s="39">
        <f>賞与計算!K46</f>
        <v>0</v>
      </c>
      <c r="T28" s="62"/>
      <c r="U28" s="63"/>
      <c r="V28" s="38">
        <v>50</v>
      </c>
      <c r="W28" s="39">
        <f>賞与計算!L46</f>
        <v>0</v>
      </c>
      <c r="X28" s="62"/>
      <c r="Y28" s="63"/>
      <c r="Z28" s="38">
        <v>50</v>
      </c>
      <c r="AA28" s="39">
        <f>賞与計算!P46</f>
        <v>0</v>
      </c>
      <c r="AB28" s="62"/>
      <c r="AC28" s="63"/>
      <c r="AD28" s="38">
        <v>50</v>
      </c>
      <c r="AE28" s="39">
        <f>賞与計算!T46</f>
        <v>0</v>
      </c>
      <c r="AF28" s="62"/>
      <c r="AG28" s="63"/>
      <c r="AH28" s="38">
        <v>50</v>
      </c>
      <c r="AI28" s="39">
        <f>賞与計算!X46</f>
        <v>0</v>
      </c>
      <c r="AJ28" s="62"/>
      <c r="AK28" s="63"/>
      <c r="AL28" s="38">
        <v>50</v>
      </c>
      <c r="AM28" s="39">
        <f>賞与計算!AB46</f>
        <v>0</v>
      </c>
      <c r="AN28" s="62"/>
    </row>
    <row r="29" spans="1:40">
      <c r="B29" s="38">
        <v>10</v>
      </c>
      <c r="C29" s="39">
        <f ca="1">賞与計算!C48</f>
        <v>0</v>
      </c>
      <c r="D29" s="62"/>
      <c r="E29" s="63"/>
      <c r="F29" s="38">
        <v>10</v>
      </c>
      <c r="G29" s="39">
        <f ca="1">賞与計算!D48</f>
        <v>0</v>
      </c>
      <c r="H29" s="62"/>
      <c r="I29" s="63"/>
      <c r="J29" s="38">
        <v>10</v>
      </c>
      <c r="K29" s="39">
        <f ca="1">賞与計算!E48</f>
        <v>0</v>
      </c>
      <c r="L29" s="62"/>
      <c r="M29" s="63"/>
      <c r="N29" s="38">
        <v>10</v>
      </c>
      <c r="O29" s="39">
        <f ca="1">賞与計算!J48</f>
        <v>0</v>
      </c>
      <c r="P29" s="62"/>
      <c r="Q29" s="63"/>
      <c r="R29" s="38">
        <v>10</v>
      </c>
      <c r="S29" s="39">
        <f>賞与計算!K48</f>
        <v>0</v>
      </c>
      <c r="T29" s="62"/>
      <c r="U29" s="63"/>
      <c r="V29" s="38">
        <v>10</v>
      </c>
      <c r="W29" s="39">
        <f>賞与計算!L48</f>
        <v>0</v>
      </c>
      <c r="X29" s="62"/>
      <c r="Y29" s="63"/>
      <c r="Z29" s="38">
        <v>10</v>
      </c>
      <c r="AA29" s="39">
        <f>賞与計算!P48</f>
        <v>0</v>
      </c>
      <c r="AB29" s="62"/>
      <c r="AC29" s="63"/>
      <c r="AD29" s="38">
        <v>10</v>
      </c>
      <c r="AE29" s="39">
        <f>賞与計算!T48</f>
        <v>0</v>
      </c>
      <c r="AF29" s="62"/>
      <c r="AG29" s="63"/>
      <c r="AH29" s="38">
        <v>10</v>
      </c>
      <c r="AI29" s="39">
        <f>賞与計算!X48</f>
        <v>0</v>
      </c>
      <c r="AJ29" s="62"/>
      <c r="AK29" s="63"/>
      <c r="AL29" s="38">
        <v>10</v>
      </c>
      <c r="AM29" s="39">
        <f>賞与計算!AB48</f>
        <v>0</v>
      </c>
      <c r="AN29" s="62"/>
    </row>
    <row r="30" spans="1:40">
      <c r="B30" s="38">
        <v>5</v>
      </c>
      <c r="C30" s="39">
        <f ca="1">賞与計算!C50</f>
        <v>0</v>
      </c>
      <c r="D30" s="62"/>
      <c r="E30" s="63"/>
      <c r="F30" s="38">
        <v>5</v>
      </c>
      <c r="G30" s="39">
        <f ca="1">賞与計算!D50</f>
        <v>0</v>
      </c>
      <c r="H30" s="62"/>
      <c r="I30" s="63"/>
      <c r="J30" s="38">
        <v>5</v>
      </c>
      <c r="K30" s="39">
        <f ca="1">賞与計算!E50</f>
        <v>0</v>
      </c>
      <c r="L30" s="62"/>
      <c r="M30" s="63"/>
      <c r="N30" s="38">
        <v>5</v>
      </c>
      <c r="O30" s="39">
        <f ca="1">賞与計算!J50</f>
        <v>0</v>
      </c>
      <c r="P30" s="62"/>
      <c r="Q30" s="63"/>
      <c r="R30" s="38">
        <v>5</v>
      </c>
      <c r="S30" s="39">
        <f>賞与計算!K50</f>
        <v>0</v>
      </c>
      <c r="T30" s="62"/>
      <c r="U30" s="63"/>
      <c r="V30" s="38">
        <v>5</v>
      </c>
      <c r="W30" s="39">
        <f>賞与計算!L50</f>
        <v>0</v>
      </c>
      <c r="X30" s="62"/>
      <c r="Y30" s="63"/>
      <c r="Z30" s="38">
        <v>5</v>
      </c>
      <c r="AA30" s="39">
        <f>賞与計算!P50</f>
        <v>0</v>
      </c>
      <c r="AB30" s="62"/>
      <c r="AC30" s="63"/>
      <c r="AD30" s="38">
        <v>5</v>
      </c>
      <c r="AE30" s="39">
        <f>賞与計算!T50</f>
        <v>0</v>
      </c>
      <c r="AF30" s="62"/>
      <c r="AG30" s="63"/>
      <c r="AH30" s="38">
        <v>5</v>
      </c>
      <c r="AI30" s="39">
        <f>賞与計算!X50</f>
        <v>0</v>
      </c>
      <c r="AJ30" s="62"/>
      <c r="AK30" s="63"/>
      <c r="AL30" s="38">
        <v>5</v>
      </c>
      <c r="AM30" s="39">
        <f>賞与計算!AB50</f>
        <v>0</v>
      </c>
      <c r="AN30" s="62"/>
    </row>
    <row r="31" spans="1:40" ht="18" thickBot="1">
      <c r="B31" s="40">
        <v>1</v>
      </c>
      <c r="C31" s="41">
        <f ca="1">賞与計算!C52</f>
        <v>0</v>
      </c>
      <c r="D31" s="62"/>
      <c r="E31" s="63"/>
      <c r="F31" s="40">
        <v>1</v>
      </c>
      <c r="G31" s="41">
        <f ca="1">賞与計算!D52</f>
        <v>0</v>
      </c>
      <c r="H31" s="62"/>
      <c r="I31" s="63"/>
      <c r="J31" s="40">
        <v>1</v>
      </c>
      <c r="K31" s="41">
        <f ca="1">賞与計算!E52</f>
        <v>0</v>
      </c>
      <c r="L31" s="62"/>
      <c r="M31" s="63"/>
      <c r="N31" s="40">
        <v>1</v>
      </c>
      <c r="O31" s="41">
        <f ca="1">賞与計算!J52</f>
        <v>0</v>
      </c>
      <c r="P31" s="62"/>
      <c r="Q31" s="63"/>
      <c r="R31" s="40">
        <v>1</v>
      </c>
      <c r="S31" s="41">
        <f>賞与計算!K52</f>
        <v>0</v>
      </c>
      <c r="T31" s="62"/>
      <c r="U31" s="63"/>
      <c r="V31" s="40">
        <v>1</v>
      </c>
      <c r="W31" s="41">
        <f>賞与計算!L52</f>
        <v>0</v>
      </c>
      <c r="X31" s="62"/>
      <c r="Y31" s="63"/>
      <c r="Z31" s="40">
        <v>1</v>
      </c>
      <c r="AA31" s="41">
        <f>賞与計算!P52</f>
        <v>0</v>
      </c>
      <c r="AB31" s="62"/>
      <c r="AC31" s="63"/>
      <c r="AD31" s="40">
        <v>1</v>
      </c>
      <c r="AE31" s="41">
        <f>賞与計算!T52</f>
        <v>0</v>
      </c>
      <c r="AF31" s="62"/>
      <c r="AG31" s="63"/>
      <c r="AH31" s="40">
        <v>1</v>
      </c>
      <c r="AI31" s="41">
        <f>賞与計算!X52</f>
        <v>0</v>
      </c>
      <c r="AJ31" s="62"/>
      <c r="AK31" s="63"/>
      <c r="AL31" s="40">
        <v>1</v>
      </c>
      <c r="AM31" s="41">
        <f>賞与計算!AB52</f>
        <v>0</v>
      </c>
      <c r="AN31" s="62"/>
    </row>
  </sheetData>
  <mergeCells count="40">
    <mergeCell ref="B21:C21"/>
    <mergeCell ref="J4:K4"/>
    <mergeCell ref="N4:O4"/>
    <mergeCell ref="J6:K6"/>
    <mergeCell ref="N6:O6"/>
    <mergeCell ref="B3:C3"/>
    <mergeCell ref="B4:C4"/>
    <mergeCell ref="B6:C6"/>
    <mergeCell ref="V3:W3"/>
    <mergeCell ref="J3:K3"/>
    <mergeCell ref="N3:O3"/>
    <mergeCell ref="R3:S3"/>
    <mergeCell ref="F6:G6"/>
    <mergeCell ref="F3:G3"/>
    <mergeCell ref="V6:W6"/>
    <mergeCell ref="V4:W4"/>
    <mergeCell ref="R4:S4"/>
    <mergeCell ref="F4:G4"/>
    <mergeCell ref="R6:S6"/>
    <mergeCell ref="V21:W21"/>
    <mergeCell ref="F21:G21"/>
    <mergeCell ref="J21:K21"/>
    <mergeCell ref="N21:O21"/>
    <mergeCell ref="R21:S21"/>
    <mergeCell ref="Z3:AA3"/>
    <mergeCell ref="Z4:AA4"/>
    <mergeCell ref="Z6:AA6"/>
    <mergeCell ref="Z21:AA21"/>
    <mergeCell ref="AD3:AE3"/>
    <mergeCell ref="AD4:AE4"/>
    <mergeCell ref="AD6:AE6"/>
    <mergeCell ref="AD21:AE21"/>
    <mergeCell ref="AH3:AI3"/>
    <mergeCell ref="AH4:AI4"/>
    <mergeCell ref="AH6:AI6"/>
    <mergeCell ref="AH21:AI21"/>
    <mergeCell ref="AL3:AM3"/>
    <mergeCell ref="AL4:AM4"/>
    <mergeCell ref="AL6:AM6"/>
    <mergeCell ref="AL21:AM21"/>
  </mergeCells>
  <phoneticPr fontId="9"/>
  <pageMargins left="0.19685039370078741" right="0.38" top="0.49" bottom="0.15748031496062992" header="0.26" footer="0.15748031496062992"/>
  <pageSetup paperSize="13"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rikae" enableFormatConditionsCalculation="0">
    <tabColor indexed="13"/>
  </sheetPr>
  <dimension ref="A1:J28"/>
  <sheetViews>
    <sheetView workbookViewId="0">
      <selection activeCell="I14" sqref="I14:I17"/>
    </sheetView>
  </sheetViews>
  <sheetFormatPr baseColWidth="12" defaultColWidth="11" defaultRowHeight="18" x14ac:dyDescent="0"/>
  <cols>
    <col min="1" max="1" width="13.83203125" style="418" customWidth="1"/>
    <col min="2" max="2" width="11.6640625" style="418" customWidth="1"/>
    <col min="3" max="3" width="10.5" style="418" bestFit="1" customWidth="1"/>
    <col min="4" max="4" width="13.83203125" style="418" bestFit="1" customWidth="1"/>
    <col min="5" max="7" width="11.6640625" style="418" bestFit="1" customWidth="1"/>
    <col min="8" max="8" width="10.6640625" style="418" customWidth="1"/>
    <col min="9" max="9" width="13.1640625" style="418" bestFit="1" customWidth="1"/>
    <col min="10" max="16384" width="11" style="418"/>
  </cols>
  <sheetData>
    <row r="1" spans="1:10">
      <c r="A1" s="419" t="s">
        <v>169</v>
      </c>
      <c r="B1" s="466" t="s">
        <v>330</v>
      </c>
      <c r="C1" s="467" t="s">
        <v>331</v>
      </c>
      <c r="D1" s="467" t="s">
        <v>332</v>
      </c>
      <c r="E1" s="467" t="s">
        <v>330</v>
      </c>
      <c r="F1" s="467" t="s">
        <v>331</v>
      </c>
      <c r="G1" s="468" t="s">
        <v>332</v>
      </c>
      <c r="I1" s="432" t="s">
        <v>19</v>
      </c>
      <c r="J1" s="432"/>
    </row>
    <row r="2" spans="1:10">
      <c r="A2" s="465">
        <f ca="1">給与計算!B2</f>
        <v>42253.370363194445</v>
      </c>
      <c r="B2" s="420" t="s">
        <v>180</v>
      </c>
      <c r="C2" s="421">
        <f>給与計算!M4</f>
        <v>0</v>
      </c>
      <c r="D2" s="422"/>
      <c r="E2" s="423" t="s">
        <v>186</v>
      </c>
      <c r="F2" s="421">
        <f>給与計算!M31</f>
        <v>0</v>
      </c>
      <c r="G2" s="469"/>
      <c r="I2" s="577" t="s">
        <v>265</v>
      </c>
      <c r="J2" s="433">
        <f>C10</f>
        <v>0</v>
      </c>
    </row>
    <row r="3" spans="1:10">
      <c r="B3" s="420" t="s">
        <v>328</v>
      </c>
      <c r="C3" s="421">
        <f>給与計算!M13-C2</f>
        <v>0</v>
      </c>
      <c r="D3" s="422"/>
      <c r="E3" s="423" t="s">
        <v>8</v>
      </c>
      <c r="F3" s="421">
        <f>SUM(給与計算!M17:M18)</f>
        <v>0</v>
      </c>
      <c r="G3" s="424" t="s">
        <v>9</v>
      </c>
      <c r="I3" s="577" t="s">
        <v>15</v>
      </c>
      <c r="J3" s="433">
        <f>F5</f>
        <v>0</v>
      </c>
    </row>
    <row r="4" spans="1:10">
      <c r="B4" s="420" t="s">
        <v>2</v>
      </c>
      <c r="C4" s="421">
        <f>給与計算!M14</f>
        <v>0</v>
      </c>
      <c r="D4" s="422" t="s">
        <v>14</v>
      </c>
      <c r="E4" s="423" t="s">
        <v>188</v>
      </c>
      <c r="F4" s="421">
        <f>給与計算!M19</f>
        <v>0</v>
      </c>
      <c r="G4" s="424" t="s">
        <v>9</v>
      </c>
      <c r="H4" s="425"/>
      <c r="I4" s="577" t="s">
        <v>260</v>
      </c>
      <c r="J4" s="433">
        <f>F6</f>
        <v>0</v>
      </c>
    </row>
    <row r="5" spans="1:10">
      <c r="B5" s="420"/>
      <c r="C5" s="426"/>
      <c r="D5" s="422"/>
      <c r="E5" s="423" t="str">
        <f>給与計算!B23</f>
        <v>源泉所得税</v>
      </c>
      <c r="F5" s="421">
        <f>給与計算!M23+給与計算!M24</f>
        <v>0</v>
      </c>
      <c r="G5" s="424" t="s">
        <v>9</v>
      </c>
      <c r="I5" s="577" t="s">
        <v>8</v>
      </c>
      <c r="J5" s="433">
        <f>F3</f>
        <v>0</v>
      </c>
    </row>
    <row r="6" spans="1:10">
      <c r="B6" s="420"/>
      <c r="C6" s="426"/>
      <c r="D6" s="422"/>
      <c r="E6" s="423" t="str">
        <f>給与計算!B25</f>
        <v>住民税</v>
      </c>
      <c r="F6" s="421">
        <f>給与計算!M25</f>
        <v>0</v>
      </c>
      <c r="G6" s="424" t="s">
        <v>9</v>
      </c>
    </row>
    <row r="7" spans="1:10">
      <c r="B7" s="420"/>
      <c r="C7" s="426"/>
      <c r="D7" s="422"/>
      <c r="E7" s="423" t="str">
        <f>給与計算!B26</f>
        <v>賄費</v>
      </c>
      <c r="F7" s="421">
        <f>給与計算!M26</f>
        <v>0</v>
      </c>
      <c r="G7" s="424" t="s">
        <v>9</v>
      </c>
    </row>
    <row r="8" spans="1:10">
      <c r="B8" s="420"/>
      <c r="C8" s="426"/>
      <c r="D8" s="422"/>
      <c r="E8" s="423" t="str">
        <f>T(給与計算!B27)</f>
        <v>寮費</v>
      </c>
      <c r="F8" s="421">
        <f>給与計算!M27</f>
        <v>0</v>
      </c>
      <c r="G8" s="424" t="s">
        <v>329</v>
      </c>
    </row>
    <row r="9" spans="1:10" ht="19" thickBot="1">
      <c r="B9" s="470"/>
      <c r="C9" s="471"/>
      <c r="D9" s="472"/>
      <c r="E9" s="473" t="str">
        <f>T(給与計算!B28)</f>
        <v>その他</v>
      </c>
      <c r="F9" s="474">
        <f>給与計算!M28</f>
        <v>0</v>
      </c>
      <c r="G9" s="475" t="s">
        <v>329</v>
      </c>
    </row>
    <row r="10" spans="1:10" ht="20" thickTop="1" thickBot="1">
      <c r="B10" s="427"/>
      <c r="C10" s="428">
        <f>SUM(C2:C9)</f>
        <v>0</v>
      </c>
      <c r="D10" s="429"/>
      <c r="E10" s="430"/>
      <c r="F10" s="428">
        <f>SUM(F2:F9)</f>
        <v>0</v>
      </c>
      <c r="G10" s="431"/>
    </row>
    <row r="12" spans="1:10" ht="19" thickBot="1"/>
    <row r="13" spans="1:10">
      <c r="A13" s="419" t="s">
        <v>90</v>
      </c>
      <c r="B13" s="466" t="s">
        <v>330</v>
      </c>
      <c r="C13" s="467" t="s">
        <v>331</v>
      </c>
      <c r="D13" s="467" t="s">
        <v>332</v>
      </c>
      <c r="E13" s="467" t="s">
        <v>330</v>
      </c>
      <c r="F13" s="467" t="s">
        <v>331</v>
      </c>
      <c r="G13" s="468" t="s">
        <v>332</v>
      </c>
      <c r="I13" s="432" t="s">
        <v>19</v>
      </c>
      <c r="J13" s="432"/>
    </row>
    <row r="14" spans="1:10">
      <c r="A14" s="465" t="str">
        <f ca="1">賞与計算!C1</f>
        <v>平成27年夏期</v>
      </c>
      <c r="B14" s="420" t="s">
        <v>300</v>
      </c>
      <c r="C14" s="421">
        <f>賞与計算!M17</f>
        <v>0</v>
      </c>
      <c r="D14" s="422"/>
      <c r="E14" s="423" t="s">
        <v>272</v>
      </c>
      <c r="F14" s="421">
        <f ca="1">賞与計算!M28</f>
        <v>0</v>
      </c>
      <c r="G14" s="469"/>
      <c r="I14" s="577" t="s">
        <v>265</v>
      </c>
      <c r="J14" s="433">
        <f>C14+C15+C16</f>
        <v>0</v>
      </c>
    </row>
    <row r="15" spans="1:10">
      <c r="B15" s="420"/>
      <c r="C15" s="421"/>
      <c r="D15" s="422"/>
      <c r="E15" s="423" t="s">
        <v>8</v>
      </c>
      <c r="F15" s="421">
        <f ca="1">賞与計算!M19+賞与計算!M20</f>
        <v>0</v>
      </c>
      <c r="G15" s="424" t="s">
        <v>9</v>
      </c>
      <c r="I15" s="577" t="s">
        <v>15</v>
      </c>
      <c r="J15" s="433">
        <f ca="1">F17</f>
        <v>0</v>
      </c>
    </row>
    <row r="16" spans="1:10">
      <c r="B16" s="420"/>
      <c r="C16" s="421"/>
      <c r="D16" s="422"/>
      <c r="E16" s="423" t="s">
        <v>188</v>
      </c>
      <c r="F16" s="421">
        <f>賞与計算!M21</f>
        <v>0</v>
      </c>
      <c r="G16" s="424" t="s">
        <v>11</v>
      </c>
      <c r="I16" s="577"/>
      <c r="J16" s="433"/>
    </row>
    <row r="17" spans="2:10">
      <c r="B17" s="420"/>
      <c r="C17" s="421"/>
      <c r="D17" s="422"/>
      <c r="E17" s="423" t="s">
        <v>15</v>
      </c>
      <c r="F17" s="421">
        <f ca="1">賞与計算!M25</f>
        <v>0</v>
      </c>
      <c r="G17" s="424" t="s">
        <v>9</v>
      </c>
      <c r="I17" s="577" t="s">
        <v>8</v>
      </c>
      <c r="J17" s="433">
        <f ca="1">F15</f>
        <v>0</v>
      </c>
    </row>
    <row r="18" spans="2:10">
      <c r="B18" s="420"/>
      <c r="C18" s="426"/>
      <c r="D18" s="422"/>
      <c r="E18" s="423"/>
      <c r="F18" s="421"/>
      <c r="G18" s="424"/>
    </row>
    <row r="19" spans="2:10">
      <c r="B19" s="420"/>
      <c r="C19" s="426"/>
      <c r="D19" s="422"/>
      <c r="E19" s="423"/>
      <c r="F19" s="421"/>
      <c r="G19" s="424"/>
      <c r="I19" s="432" t="s">
        <v>99</v>
      </c>
      <c r="J19" s="432"/>
    </row>
    <row r="20" spans="2:10">
      <c r="B20" s="420"/>
      <c r="C20" s="426"/>
      <c r="D20" s="422"/>
      <c r="E20" s="423"/>
      <c r="F20" s="421"/>
      <c r="G20" s="424"/>
      <c r="I20" s="576" t="s">
        <v>247</v>
      </c>
      <c r="J20" s="433">
        <f>賞与計算!M57</f>
        <v>0</v>
      </c>
    </row>
    <row r="21" spans="2:10" ht="19" thickBot="1">
      <c r="B21" s="470"/>
      <c r="C21" s="471"/>
      <c r="D21" s="472"/>
      <c r="E21" s="473"/>
      <c r="F21" s="474"/>
      <c r="G21" s="475"/>
      <c r="I21" s="576" t="s">
        <v>197</v>
      </c>
      <c r="J21" s="433">
        <f>賞与計算!M58</f>
        <v>0</v>
      </c>
    </row>
    <row r="22" spans="2:10" ht="20" thickTop="1" thickBot="1">
      <c r="B22" s="427"/>
      <c r="C22" s="428">
        <f>SUM(C14:C21)</f>
        <v>0</v>
      </c>
      <c r="D22" s="429"/>
      <c r="E22" s="430"/>
      <c r="F22" s="428">
        <f ca="1">SUM(F14:F21)</f>
        <v>0</v>
      </c>
      <c r="G22" s="431"/>
      <c r="I22" s="576" t="s">
        <v>164</v>
      </c>
      <c r="J22" s="433">
        <f>賞与計算!M59</f>
        <v>0</v>
      </c>
    </row>
    <row r="24" spans="2:10">
      <c r="H24" s="425"/>
    </row>
    <row r="25" spans="2:10">
      <c r="H25" s="425"/>
    </row>
    <row r="26" spans="2:10">
      <c r="H26" s="425"/>
    </row>
    <row r="27" spans="2:10">
      <c r="H27" s="425"/>
    </row>
    <row r="28" spans="2:10">
      <c r="H28" s="425"/>
    </row>
  </sheetData>
  <phoneticPr fontId="9"/>
  <printOptions gridLinesSet="0"/>
  <pageMargins left="0.75" right="0.75" top="1" bottom="1" header="0.51200000000000001" footer="0.51200000000000001"/>
  <pageSetup paperSize="9" orientation="portrait" horizontalDpi="4294967292" verticalDpi="4294967292"/>
  <headerFooter alignWithMargins="0">
    <oddHeader>&amp;A</oddHeader>
    <oddFooter>- &amp;P -</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ken" enableFormatConditionsCalculation="0">
    <tabColor indexed="10"/>
  </sheetPr>
  <dimension ref="A1:M55"/>
  <sheetViews>
    <sheetView workbookViewId="0">
      <pane ySplit="5" topLeftCell="A6" activePane="bottomLeft" state="frozen"/>
      <selection pane="bottomLeft" activeCell="M4" sqref="M4"/>
    </sheetView>
  </sheetViews>
  <sheetFormatPr baseColWidth="12" defaultColWidth="11" defaultRowHeight="17" x14ac:dyDescent="0"/>
  <cols>
    <col min="1" max="1" width="4.33203125" bestFit="1" customWidth="1"/>
    <col min="2" max="2" width="12.1640625" bestFit="1" customWidth="1"/>
    <col min="3" max="3" width="7.6640625" bestFit="1" customWidth="1"/>
    <col min="4" max="4" width="4.6640625" customWidth="1"/>
    <col min="5" max="5" width="13.1640625" bestFit="1" customWidth="1"/>
    <col min="6" max="6" width="6.1640625" customWidth="1"/>
    <col min="7" max="9" width="9.1640625" bestFit="1" customWidth="1"/>
    <col min="10" max="10" width="5.83203125" bestFit="1" customWidth="1"/>
  </cols>
  <sheetData>
    <row r="1" spans="1:13">
      <c r="A1" s="542"/>
      <c r="B1" s="543" t="s">
        <v>112</v>
      </c>
      <c r="C1" s="544"/>
      <c r="E1" s="545"/>
      <c r="F1" s="543" t="s">
        <v>197</v>
      </c>
      <c r="G1" s="546"/>
      <c r="H1" s="546"/>
      <c r="I1" s="628" t="s">
        <v>164</v>
      </c>
      <c r="J1" s="629"/>
    </row>
    <row r="2" spans="1:13">
      <c r="A2" s="93"/>
      <c r="B2" s="92"/>
      <c r="C2" s="94"/>
      <c r="D2" s="89"/>
      <c r="E2" s="91" t="s">
        <v>319</v>
      </c>
      <c r="F2" s="92"/>
      <c r="G2" s="90" t="s">
        <v>375</v>
      </c>
      <c r="H2" s="90" t="s">
        <v>375</v>
      </c>
      <c r="I2" s="90" t="s">
        <v>376</v>
      </c>
      <c r="J2" s="18"/>
      <c r="L2" s="541" t="s">
        <v>378</v>
      </c>
      <c r="M2" s="540" t="s">
        <v>379</v>
      </c>
    </row>
    <row r="3" spans="1:13">
      <c r="A3" s="88" t="s">
        <v>82</v>
      </c>
      <c r="B3" s="88" t="s">
        <v>226</v>
      </c>
      <c r="C3" s="88" t="s">
        <v>129</v>
      </c>
      <c r="E3" s="88" t="s">
        <v>226</v>
      </c>
      <c r="F3" s="88" t="s">
        <v>82</v>
      </c>
      <c r="G3" s="88" t="s">
        <v>110</v>
      </c>
      <c r="H3" s="88" t="s">
        <v>268</v>
      </c>
      <c r="I3" s="444" t="s">
        <v>110</v>
      </c>
      <c r="J3" s="102" t="s">
        <v>187</v>
      </c>
    </row>
    <row r="4" spans="1:13">
      <c r="A4" s="600"/>
      <c r="B4" s="600"/>
      <c r="C4" s="607">
        <v>5.0000000000000001E-3</v>
      </c>
      <c r="E4" s="601" t="s">
        <v>426</v>
      </c>
      <c r="F4" s="601"/>
      <c r="G4" s="604">
        <v>9.9299999999999999E-2</v>
      </c>
      <c r="H4" s="605">
        <v>0.11509999999999999</v>
      </c>
      <c r="I4" s="605">
        <v>0.17474000000000001</v>
      </c>
      <c r="J4" s="602"/>
      <c r="L4" s="541" t="s">
        <v>377</v>
      </c>
      <c r="M4" s="540" t="s">
        <v>374</v>
      </c>
    </row>
    <row r="5" spans="1:13">
      <c r="A5" s="600"/>
      <c r="B5" s="600"/>
      <c r="C5" s="18"/>
      <c r="E5" s="603" t="s">
        <v>282</v>
      </c>
      <c r="F5" s="603"/>
      <c r="G5" s="606">
        <f>G4/2</f>
        <v>4.965E-2</v>
      </c>
      <c r="H5" s="606">
        <f>H4/2</f>
        <v>5.7549999999999997E-2</v>
      </c>
      <c r="I5" s="606">
        <f>I4/2</f>
        <v>8.7370000000000003E-2</v>
      </c>
      <c r="J5" s="603"/>
      <c r="L5" s="597" t="s">
        <v>423</v>
      </c>
      <c r="M5" t="s">
        <v>422</v>
      </c>
    </row>
    <row r="6" spans="1:13">
      <c r="A6" s="582">
        <v>0</v>
      </c>
      <c r="B6" s="583">
        <v>0</v>
      </c>
      <c r="C6" s="583">
        <v>0</v>
      </c>
      <c r="E6" s="95">
        <v>0</v>
      </c>
      <c r="F6" s="96">
        <v>1</v>
      </c>
      <c r="G6" s="598">
        <f>$J6*G$5*1000</f>
        <v>2879.7000000000003</v>
      </c>
      <c r="H6" s="598">
        <f>$J6*H$5*1000</f>
        <v>3337.9</v>
      </c>
      <c r="I6" s="598"/>
      <c r="J6" s="18">
        <v>58</v>
      </c>
      <c r="M6" t="s">
        <v>420</v>
      </c>
    </row>
    <row r="7" spans="1:13">
      <c r="A7" s="582">
        <v>1</v>
      </c>
      <c r="B7" s="583">
        <v>92000</v>
      </c>
      <c r="C7" s="583">
        <v>658</v>
      </c>
      <c r="E7" s="97">
        <v>63</v>
      </c>
      <c r="F7" s="98">
        <v>2</v>
      </c>
      <c r="G7" s="599">
        <f t="shared" ref="G7:I52" si="0">$J7*G$5*1000</f>
        <v>3376.2</v>
      </c>
      <c r="H7" s="599">
        <f t="shared" si="0"/>
        <v>3913.3999999999996</v>
      </c>
      <c r="I7" s="599"/>
      <c r="J7" s="18">
        <v>68</v>
      </c>
      <c r="M7" t="s">
        <v>421</v>
      </c>
    </row>
    <row r="8" spans="1:13">
      <c r="A8" s="584">
        <v>2</v>
      </c>
      <c r="B8" s="585">
        <v>96000</v>
      </c>
      <c r="C8" s="585">
        <v>686</v>
      </c>
      <c r="E8" s="97">
        <v>73</v>
      </c>
      <c r="F8" s="98">
        <v>3</v>
      </c>
      <c r="G8" s="599">
        <f t="shared" si="0"/>
        <v>3872.7</v>
      </c>
      <c r="H8" s="599">
        <f t="shared" si="0"/>
        <v>4488.9000000000005</v>
      </c>
      <c r="I8" s="599"/>
      <c r="J8" s="18">
        <v>78</v>
      </c>
    </row>
    <row r="9" spans="1:13">
      <c r="A9" s="584">
        <v>3</v>
      </c>
      <c r="B9" s="585">
        <v>100000</v>
      </c>
      <c r="C9" s="585">
        <v>714</v>
      </c>
      <c r="E9" s="97">
        <v>83</v>
      </c>
      <c r="F9" s="98">
        <v>4</v>
      </c>
      <c r="G9" s="599">
        <f t="shared" si="0"/>
        <v>4369.2</v>
      </c>
      <c r="H9" s="599">
        <f t="shared" si="0"/>
        <v>5064.3999999999996</v>
      </c>
      <c r="I9" s="599"/>
      <c r="J9" s="18">
        <v>88</v>
      </c>
    </row>
    <row r="10" spans="1:13">
      <c r="A10" s="584">
        <v>4</v>
      </c>
      <c r="B10" s="585">
        <v>104000</v>
      </c>
      <c r="C10" s="585">
        <v>742</v>
      </c>
      <c r="E10" s="99">
        <v>93</v>
      </c>
      <c r="F10" s="100">
        <v>5</v>
      </c>
      <c r="G10" s="594">
        <f t="shared" si="0"/>
        <v>4865.7000000000007</v>
      </c>
      <c r="H10" s="594">
        <f t="shared" si="0"/>
        <v>5639.9</v>
      </c>
      <c r="I10" s="594">
        <f>$J10*I$5*1000</f>
        <v>8562.26</v>
      </c>
      <c r="J10" s="18">
        <v>98</v>
      </c>
    </row>
    <row r="11" spans="1:13">
      <c r="A11" s="586">
        <v>5</v>
      </c>
      <c r="B11" s="587">
        <v>108000</v>
      </c>
      <c r="C11" s="587">
        <v>770</v>
      </c>
      <c r="E11" s="95">
        <v>101</v>
      </c>
      <c r="F11" s="96">
        <v>6</v>
      </c>
      <c r="G11" s="598">
        <f t="shared" si="0"/>
        <v>5163.5999999999995</v>
      </c>
      <c r="H11" s="598">
        <f t="shared" si="0"/>
        <v>5985.2</v>
      </c>
      <c r="I11" s="598">
        <f t="shared" si="0"/>
        <v>9086.48</v>
      </c>
      <c r="J11" s="18">
        <v>104</v>
      </c>
    </row>
    <row r="12" spans="1:13">
      <c r="A12" s="582">
        <v>6</v>
      </c>
      <c r="B12" s="583">
        <v>112000</v>
      </c>
      <c r="C12" s="583">
        <v>798</v>
      </c>
      <c r="E12" s="97">
        <v>107</v>
      </c>
      <c r="F12" s="98">
        <v>7</v>
      </c>
      <c r="G12" s="599">
        <f t="shared" si="0"/>
        <v>5461.5</v>
      </c>
      <c r="H12" s="599">
        <f t="shared" si="0"/>
        <v>6330.5</v>
      </c>
      <c r="I12" s="599">
        <f t="shared" si="0"/>
        <v>9610.6999999999989</v>
      </c>
      <c r="J12" s="18">
        <v>110</v>
      </c>
    </row>
    <row r="13" spans="1:13">
      <c r="A13" s="584">
        <v>7</v>
      </c>
      <c r="B13" s="585">
        <v>116000</v>
      </c>
      <c r="C13" s="585">
        <v>826</v>
      </c>
      <c r="E13" s="97">
        <v>114</v>
      </c>
      <c r="F13" s="98">
        <v>8</v>
      </c>
      <c r="G13" s="599">
        <f t="shared" si="0"/>
        <v>5858.7</v>
      </c>
      <c r="H13" s="599">
        <f t="shared" si="0"/>
        <v>6790.9</v>
      </c>
      <c r="I13" s="599">
        <f t="shared" si="0"/>
        <v>10309.660000000002</v>
      </c>
      <c r="J13" s="18">
        <v>118</v>
      </c>
    </row>
    <row r="14" spans="1:13">
      <c r="A14" s="584">
        <v>8</v>
      </c>
      <c r="B14" s="585">
        <v>120000</v>
      </c>
      <c r="C14" s="585">
        <v>854</v>
      </c>
      <c r="E14" s="97">
        <v>122</v>
      </c>
      <c r="F14" s="98">
        <v>9</v>
      </c>
      <c r="G14" s="599">
        <f t="shared" si="0"/>
        <v>6255.9</v>
      </c>
      <c r="H14" s="599">
        <f t="shared" si="0"/>
        <v>7251.2999999999993</v>
      </c>
      <c r="I14" s="599">
        <f t="shared" si="0"/>
        <v>11008.62</v>
      </c>
      <c r="J14" s="18">
        <v>126</v>
      </c>
    </row>
    <row r="15" spans="1:13">
      <c r="A15" s="584">
        <v>9</v>
      </c>
      <c r="B15" s="585">
        <v>124000</v>
      </c>
      <c r="C15" s="585">
        <v>882</v>
      </c>
      <c r="E15" s="99">
        <v>130</v>
      </c>
      <c r="F15" s="100">
        <v>10</v>
      </c>
      <c r="G15" s="594">
        <f t="shared" si="0"/>
        <v>6653.1</v>
      </c>
      <c r="H15" s="594">
        <f t="shared" si="0"/>
        <v>7711.7</v>
      </c>
      <c r="I15" s="594">
        <f t="shared" si="0"/>
        <v>11707.58</v>
      </c>
      <c r="J15" s="18">
        <v>134</v>
      </c>
    </row>
    <row r="16" spans="1:13">
      <c r="A16" s="586">
        <v>10</v>
      </c>
      <c r="B16" s="587">
        <v>128000</v>
      </c>
      <c r="C16" s="587">
        <v>910</v>
      </c>
      <c r="E16" s="95">
        <v>138</v>
      </c>
      <c r="F16" s="96">
        <v>11</v>
      </c>
      <c r="G16" s="598">
        <f t="shared" si="0"/>
        <v>7050.3</v>
      </c>
      <c r="H16" s="598">
        <f t="shared" si="0"/>
        <v>8172.1</v>
      </c>
      <c r="I16" s="598">
        <f t="shared" si="0"/>
        <v>12406.539999999999</v>
      </c>
      <c r="J16" s="18">
        <v>142</v>
      </c>
    </row>
    <row r="17" spans="1:10">
      <c r="A17" s="582">
        <v>11</v>
      </c>
      <c r="B17" s="583">
        <v>132000</v>
      </c>
      <c r="C17" s="583">
        <v>938</v>
      </c>
      <c r="E17" s="97">
        <v>146</v>
      </c>
      <c r="F17" s="98">
        <v>12</v>
      </c>
      <c r="G17" s="599">
        <f t="shared" si="0"/>
        <v>7447.5</v>
      </c>
      <c r="H17" s="599">
        <f t="shared" si="0"/>
        <v>8632.5</v>
      </c>
      <c r="I17" s="599">
        <f t="shared" si="0"/>
        <v>13105.500000000002</v>
      </c>
      <c r="J17" s="18">
        <v>150</v>
      </c>
    </row>
    <row r="18" spans="1:10">
      <c r="A18" s="584">
        <v>12</v>
      </c>
      <c r="B18" s="585">
        <v>136000</v>
      </c>
      <c r="C18" s="585">
        <v>966</v>
      </c>
      <c r="E18" s="97">
        <v>155</v>
      </c>
      <c r="F18" s="98">
        <v>13</v>
      </c>
      <c r="G18" s="599">
        <f t="shared" si="0"/>
        <v>7944</v>
      </c>
      <c r="H18" s="599">
        <f t="shared" si="0"/>
        <v>9208</v>
      </c>
      <c r="I18" s="599">
        <f t="shared" si="0"/>
        <v>13979.2</v>
      </c>
      <c r="J18" s="18">
        <v>160</v>
      </c>
    </row>
    <row r="19" spans="1:10">
      <c r="A19" s="584">
        <v>13</v>
      </c>
      <c r="B19" s="585">
        <v>140000</v>
      </c>
      <c r="C19" s="585">
        <v>998</v>
      </c>
      <c r="E19" s="97">
        <v>165</v>
      </c>
      <c r="F19" s="98">
        <v>14</v>
      </c>
      <c r="G19" s="599">
        <f t="shared" si="0"/>
        <v>8440.5</v>
      </c>
      <c r="H19" s="599">
        <f t="shared" si="0"/>
        <v>9783.5</v>
      </c>
      <c r="I19" s="599">
        <f t="shared" si="0"/>
        <v>14852.9</v>
      </c>
      <c r="J19" s="18">
        <v>170</v>
      </c>
    </row>
    <row r="20" spans="1:10">
      <c r="A20" s="584">
        <v>14</v>
      </c>
      <c r="B20" s="585">
        <v>145000</v>
      </c>
      <c r="C20" s="585">
        <v>1033</v>
      </c>
      <c r="E20" s="99">
        <v>175</v>
      </c>
      <c r="F20" s="100">
        <v>15</v>
      </c>
      <c r="G20" s="594">
        <f t="shared" si="0"/>
        <v>8937</v>
      </c>
      <c r="H20" s="594">
        <f t="shared" si="0"/>
        <v>10359</v>
      </c>
      <c r="I20" s="594">
        <f t="shared" si="0"/>
        <v>15726.6</v>
      </c>
      <c r="J20" s="18">
        <v>180</v>
      </c>
    </row>
    <row r="21" spans="1:10">
      <c r="A21" s="586">
        <v>15</v>
      </c>
      <c r="B21" s="587">
        <v>150000</v>
      </c>
      <c r="C21" s="587">
        <v>1068</v>
      </c>
      <c r="E21" s="95">
        <v>185</v>
      </c>
      <c r="F21" s="96">
        <v>16</v>
      </c>
      <c r="G21" s="598">
        <f t="shared" si="0"/>
        <v>9433.5</v>
      </c>
      <c r="H21" s="598">
        <f t="shared" si="0"/>
        <v>10934.5</v>
      </c>
      <c r="I21" s="598">
        <f t="shared" si="0"/>
        <v>16600.3</v>
      </c>
      <c r="J21" s="18">
        <v>190</v>
      </c>
    </row>
    <row r="22" spans="1:10">
      <c r="A22" s="582">
        <v>16</v>
      </c>
      <c r="B22" s="583">
        <v>155000</v>
      </c>
      <c r="C22" s="583">
        <v>1103</v>
      </c>
      <c r="E22" s="97">
        <v>195</v>
      </c>
      <c r="F22" s="98">
        <v>17</v>
      </c>
      <c r="G22" s="599">
        <f t="shared" si="0"/>
        <v>9930</v>
      </c>
      <c r="H22" s="599">
        <f t="shared" si="0"/>
        <v>11510</v>
      </c>
      <c r="I22" s="599">
        <f t="shared" si="0"/>
        <v>17474</v>
      </c>
      <c r="J22" s="18">
        <v>200</v>
      </c>
    </row>
    <row r="23" spans="1:10">
      <c r="A23" s="584">
        <v>17</v>
      </c>
      <c r="B23" s="585">
        <v>160000</v>
      </c>
      <c r="C23" s="585">
        <v>1138</v>
      </c>
      <c r="E23" s="97">
        <v>210</v>
      </c>
      <c r="F23" s="98">
        <v>18</v>
      </c>
      <c r="G23" s="599">
        <f t="shared" si="0"/>
        <v>10923</v>
      </c>
      <c r="H23" s="599">
        <f t="shared" si="0"/>
        <v>12661</v>
      </c>
      <c r="I23" s="599">
        <f t="shared" si="0"/>
        <v>19221.399999999998</v>
      </c>
      <c r="J23" s="18">
        <v>220</v>
      </c>
    </row>
    <row r="24" spans="1:10">
      <c r="A24" s="584">
        <v>18</v>
      </c>
      <c r="B24" s="585">
        <v>165000</v>
      </c>
      <c r="C24" s="585">
        <v>1173</v>
      </c>
      <c r="E24" s="97">
        <v>230</v>
      </c>
      <c r="F24" s="98">
        <v>19</v>
      </c>
      <c r="G24" s="599">
        <f t="shared" si="0"/>
        <v>11916</v>
      </c>
      <c r="H24" s="599">
        <f t="shared" si="0"/>
        <v>13812</v>
      </c>
      <c r="I24" s="599">
        <f t="shared" si="0"/>
        <v>20968.800000000003</v>
      </c>
      <c r="J24" s="18">
        <v>240</v>
      </c>
    </row>
    <row r="25" spans="1:10">
      <c r="A25" s="584">
        <v>19</v>
      </c>
      <c r="B25" s="585">
        <v>170000</v>
      </c>
      <c r="C25" s="585">
        <v>1208</v>
      </c>
      <c r="E25" s="99">
        <v>250</v>
      </c>
      <c r="F25" s="100">
        <v>20</v>
      </c>
      <c r="G25" s="594">
        <f t="shared" si="0"/>
        <v>12909</v>
      </c>
      <c r="H25" s="594">
        <f t="shared" si="0"/>
        <v>14963</v>
      </c>
      <c r="I25" s="594">
        <f t="shared" si="0"/>
        <v>22716.2</v>
      </c>
      <c r="J25" s="18">
        <v>260</v>
      </c>
    </row>
    <row r="26" spans="1:10">
      <c r="A26" s="586">
        <v>20</v>
      </c>
      <c r="B26" s="587">
        <v>175000</v>
      </c>
      <c r="C26" s="587">
        <v>1243</v>
      </c>
      <c r="E26" s="95">
        <v>270</v>
      </c>
      <c r="F26" s="96">
        <v>21</v>
      </c>
      <c r="G26" s="598">
        <f t="shared" si="0"/>
        <v>13902</v>
      </c>
      <c r="H26" s="598">
        <f t="shared" si="0"/>
        <v>16114</v>
      </c>
      <c r="I26" s="598">
        <f t="shared" si="0"/>
        <v>24463.599999999999</v>
      </c>
      <c r="J26" s="18">
        <v>280</v>
      </c>
    </row>
    <row r="27" spans="1:10">
      <c r="A27" s="582">
        <v>21</v>
      </c>
      <c r="B27" s="583">
        <v>180000</v>
      </c>
      <c r="C27" s="583">
        <v>1281</v>
      </c>
      <c r="E27" s="97">
        <v>290</v>
      </c>
      <c r="F27" s="98">
        <v>22</v>
      </c>
      <c r="G27" s="599">
        <f t="shared" si="0"/>
        <v>14895</v>
      </c>
      <c r="H27" s="599">
        <f t="shared" si="0"/>
        <v>17265</v>
      </c>
      <c r="I27" s="599">
        <f t="shared" si="0"/>
        <v>26211.000000000004</v>
      </c>
      <c r="J27" s="18">
        <v>300</v>
      </c>
    </row>
    <row r="28" spans="1:10">
      <c r="A28" s="584">
        <v>22</v>
      </c>
      <c r="B28" s="585">
        <v>186000</v>
      </c>
      <c r="C28" s="585">
        <v>1323</v>
      </c>
      <c r="E28" s="97">
        <v>310</v>
      </c>
      <c r="F28" s="98">
        <v>23</v>
      </c>
      <c r="G28" s="599">
        <f t="shared" si="0"/>
        <v>15888</v>
      </c>
      <c r="H28" s="599">
        <f t="shared" si="0"/>
        <v>18416</v>
      </c>
      <c r="I28" s="599">
        <f t="shared" si="0"/>
        <v>27958.400000000001</v>
      </c>
      <c r="J28" s="18">
        <v>320</v>
      </c>
    </row>
    <row r="29" spans="1:10">
      <c r="A29" s="584">
        <v>23</v>
      </c>
      <c r="B29" s="585">
        <v>192000</v>
      </c>
      <c r="C29" s="585">
        <v>1365</v>
      </c>
      <c r="E29" s="97">
        <v>330</v>
      </c>
      <c r="F29" s="98">
        <v>24</v>
      </c>
      <c r="G29" s="599">
        <f t="shared" si="0"/>
        <v>16881</v>
      </c>
      <c r="H29" s="599">
        <f t="shared" si="0"/>
        <v>19567</v>
      </c>
      <c r="I29" s="599">
        <f t="shared" si="0"/>
        <v>29705.8</v>
      </c>
      <c r="J29" s="18">
        <v>340</v>
      </c>
    </row>
    <row r="30" spans="1:10">
      <c r="A30" s="584">
        <v>24</v>
      </c>
      <c r="B30" s="585">
        <v>198000</v>
      </c>
      <c r="C30" s="585">
        <v>1407</v>
      </c>
      <c r="E30" s="99">
        <v>350</v>
      </c>
      <c r="F30" s="100">
        <v>25</v>
      </c>
      <c r="G30" s="594">
        <f t="shared" si="0"/>
        <v>17874</v>
      </c>
      <c r="H30" s="594">
        <f t="shared" si="0"/>
        <v>20718</v>
      </c>
      <c r="I30" s="594">
        <f t="shared" si="0"/>
        <v>31453.200000000001</v>
      </c>
      <c r="J30" s="18">
        <v>360</v>
      </c>
    </row>
    <row r="31" spans="1:10">
      <c r="A31" s="586">
        <v>25</v>
      </c>
      <c r="B31" s="587">
        <v>204000</v>
      </c>
      <c r="C31" s="587">
        <v>1449</v>
      </c>
      <c r="E31" s="95">
        <v>370</v>
      </c>
      <c r="F31" s="96">
        <v>26</v>
      </c>
      <c r="G31" s="598">
        <f t="shared" si="0"/>
        <v>18867</v>
      </c>
      <c r="H31" s="598">
        <f t="shared" si="0"/>
        <v>21869</v>
      </c>
      <c r="I31" s="598">
        <f t="shared" si="0"/>
        <v>33200.6</v>
      </c>
      <c r="J31" s="18">
        <v>380</v>
      </c>
    </row>
    <row r="32" spans="1:10">
      <c r="A32" s="582">
        <v>26</v>
      </c>
      <c r="B32" s="583">
        <v>210000</v>
      </c>
      <c r="C32" s="583">
        <v>1491</v>
      </c>
      <c r="E32" s="97">
        <v>395</v>
      </c>
      <c r="F32" s="98">
        <v>27</v>
      </c>
      <c r="G32" s="599">
        <f t="shared" si="0"/>
        <v>20356.5</v>
      </c>
      <c r="H32" s="599">
        <f t="shared" si="0"/>
        <v>23595.499999999996</v>
      </c>
      <c r="I32" s="599">
        <f t="shared" si="0"/>
        <v>35821.699999999997</v>
      </c>
      <c r="J32" s="18">
        <v>410</v>
      </c>
    </row>
    <row r="33" spans="1:10">
      <c r="A33" s="584">
        <v>27</v>
      </c>
      <c r="B33" s="585">
        <v>216000</v>
      </c>
      <c r="C33" s="585">
        <v>1537</v>
      </c>
      <c r="E33" s="97">
        <v>425</v>
      </c>
      <c r="F33" s="98">
        <v>28</v>
      </c>
      <c r="G33" s="599">
        <f t="shared" si="0"/>
        <v>21846</v>
      </c>
      <c r="H33" s="599">
        <f t="shared" si="0"/>
        <v>25322</v>
      </c>
      <c r="I33" s="599">
        <f t="shared" si="0"/>
        <v>38442.799999999996</v>
      </c>
      <c r="J33" s="18">
        <v>440</v>
      </c>
    </row>
    <row r="34" spans="1:10">
      <c r="A34" s="584">
        <v>28</v>
      </c>
      <c r="B34" s="585">
        <v>223000</v>
      </c>
      <c r="C34" s="585">
        <v>1586</v>
      </c>
      <c r="E34" s="97">
        <v>455</v>
      </c>
      <c r="F34" s="98">
        <v>29</v>
      </c>
      <c r="G34" s="599">
        <f t="shared" si="0"/>
        <v>23335.5</v>
      </c>
      <c r="H34" s="599">
        <f t="shared" si="0"/>
        <v>27048.499999999996</v>
      </c>
      <c r="I34" s="599">
        <f t="shared" si="0"/>
        <v>41063.9</v>
      </c>
      <c r="J34" s="18">
        <v>470</v>
      </c>
    </row>
    <row r="35" spans="1:10">
      <c r="A35" s="584">
        <v>29</v>
      </c>
      <c r="B35" s="585">
        <v>230000</v>
      </c>
      <c r="C35" s="585">
        <v>1638</v>
      </c>
      <c r="E35" s="99">
        <v>485</v>
      </c>
      <c r="F35" s="100">
        <v>30</v>
      </c>
      <c r="G35" s="594">
        <f t="shared" si="0"/>
        <v>24825</v>
      </c>
      <c r="H35" s="594">
        <f t="shared" si="0"/>
        <v>28775</v>
      </c>
      <c r="I35" s="594">
        <f t="shared" si="0"/>
        <v>43685</v>
      </c>
      <c r="J35" s="18">
        <v>500</v>
      </c>
    </row>
    <row r="36" spans="1:10">
      <c r="A36" s="586">
        <v>30</v>
      </c>
      <c r="B36" s="587">
        <v>238000</v>
      </c>
      <c r="C36" s="587">
        <v>1694</v>
      </c>
      <c r="E36" s="95">
        <v>515</v>
      </c>
      <c r="F36" s="96">
        <v>31</v>
      </c>
      <c r="G36" s="598">
        <f t="shared" si="0"/>
        <v>26314.5</v>
      </c>
      <c r="H36" s="598">
        <f t="shared" si="0"/>
        <v>30501.5</v>
      </c>
      <c r="I36" s="598">
        <f t="shared" si="0"/>
        <v>46306.1</v>
      </c>
      <c r="J36" s="18">
        <v>530</v>
      </c>
    </row>
    <row r="37" spans="1:10">
      <c r="A37" s="582">
        <v>31</v>
      </c>
      <c r="B37" s="583">
        <v>246000</v>
      </c>
      <c r="C37" s="583">
        <v>1754</v>
      </c>
      <c r="E37" s="97">
        <v>545</v>
      </c>
      <c r="F37" s="98">
        <v>32</v>
      </c>
      <c r="G37" s="599">
        <f t="shared" si="0"/>
        <v>27804</v>
      </c>
      <c r="H37" s="599">
        <f t="shared" si="0"/>
        <v>32228</v>
      </c>
      <c r="I37" s="599">
        <f t="shared" si="0"/>
        <v>48927.199999999997</v>
      </c>
      <c r="J37" s="18">
        <v>560</v>
      </c>
    </row>
    <row r="38" spans="1:10">
      <c r="A38" s="584">
        <v>32</v>
      </c>
      <c r="B38" s="585">
        <v>255000</v>
      </c>
      <c r="C38" s="585">
        <v>1817</v>
      </c>
      <c r="E38" s="97">
        <v>575</v>
      </c>
      <c r="F38" s="98">
        <v>33</v>
      </c>
      <c r="G38" s="599">
        <f t="shared" si="0"/>
        <v>29293.499999999996</v>
      </c>
      <c r="H38" s="599">
        <f t="shared" si="0"/>
        <v>33954.499999999993</v>
      </c>
      <c r="I38" s="599">
        <f t="shared" si="0"/>
        <v>51548.3</v>
      </c>
      <c r="J38" s="18">
        <v>590</v>
      </c>
    </row>
    <row r="39" spans="1:10">
      <c r="A39" s="584">
        <v>33</v>
      </c>
      <c r="B39" s="585">
        <v>264000</v>
      </c>
      <c r="C39" s="585">
        <v>1883</v>
      </c>
      <c r="E39" s="97">
        <v>605</v>
      </c>
      <c r="F39" s="98">
        <v>34</v>
      </c>
      <c r="G39" s="599">
        <f t="shared" si="0"/>
        <v>30783</v>
      </c>
      <c r="H39" s="599">
        <f t="shared" si="0"/>
        <v>35681</v>
      </c>
      <c r="I39" s="599">
        <f t="shared" si="0"/>
        <v>54169.4</v>
      </c>
      <c r="J39" s="18">
        <v>620</v>
      </c>
    </row>
    <row r="40" spans="1:10">
      <c r="A40" s="584">
        <v>34</v>
      </c>
      <c r="B40" s="585">
        <v>274000</v>
      </c>
      <c r="C40" s="585">
        <v>1953</v>
      </c>
      <c r="E40" s="99">
        <v>635</v>
      </c>
      <c r="F40" s="100">
        <v>35</v>
      </c>
      <c r="G40" s="594">
        <f t="shared" si="0"/>
        <v>32272.5</v>
      </c>
      <c r="H40" s="594">
        <f t="shared" si="0"/>
        <v>37407.5</v>
      </c>
      <c r="I40" s="594"/>
      <c r="J40" s="101">
        <v>650</v>
      </c>
    </row>
    <row r="41" spans="1:10">
      <c r="A41" s="586">
        <v>35</v>
      </c>
      <c r="B41" s="587">
        <v>284000</v>
      </c>
      <c r="C41" s="587">
        <v>2027</v>
      </c>
      <c r="E41" s="95">
        <v>665</v>
      </c>
      <c r="F41" s="96">
        <v>36</v>
      </c>
      <c r="G41" s="598">
        <f t="shared" si="0"/>
        <v>33762</v>
      </c>
      <c r="H41" s="598">
        <f t="shared" si="0"/>
        <v>39134</v>
      </c>
      <c r="I41" s="595"/>
      <c r="J41" s="101">
        <v>680</v>
      </c>
    </row>
    <row r="42" spans="1:10">
      <c r="A42" s="582">
        <v>36</v>
      </c>
      <c r="B42" s="583">
        <v>295000</v>
      </c>
      <c r="C42" s="583">
        <v>2104</v>
      </c>
      <c r="E42" s="97">
        <v>695</v>
      </c>
      <c r="F42" s="98">
        <v>37</v>
      </c>
      <c r="G42" s="599">
        <f t="shared" si="0"/>
        <v>35251.5</v>
      </c>
      <c r="H42" s="599">
        <f t="shared" si="0"/>
        <v>40860.499999999993</v>
      </c>
      <c r="I42" s="595"/>
      <c r="J42" s="101">
        <v>710</v>
      </c>
    </row>
    <row r="43" spans="1:10">
      <c r="A43" s="584">
        <v>37</v>
      </c>
      <c r="B43" s="585">
        <v>306000</v>
      </c>
      <c r="C43" s="585">
        <v>2184</v>
      </c>
      <c r="E43" s="97">
        <v>730</v>
      </c>
      <c r="F43" s="98">
        <v>38</v>
      </c>
      <c r="G43" s="599">
        <f t="shared" si="0"/>
        <v>37237.5</v>
      </c>
      <c r="H43" s="599">
        <f t="shared" si="0"/>
        <v>43162.499999999993</v>
      </c>
      <c r="I43" s="595"/>
      <c r="J43" s="101">
        <v>750</v>
      </c>
    </row>
    <row r="44" spans="1:10">
      <c r="A44" s="584">
        <v>38</v>
      </c>
      <c r="B44" s="585">
        <v>318000</v>
      </c>
      <c r="C44" s="585">
        <v>2268</v>
      </c>
      <c r="E44" s="97">
        <v>770</v>
      </c>
      <c r="F44" s="98">
        <v>39</v>
      </c>
      <c r="G44" s="599">
        <f t="shared" si="0"/>
        <v>39223.5</v>
      </c>
      <c r="H44" s="599">
        <f t="shared" si="0"/>
        <v>45464.5</v>
      </c>
      <c r="I44" s="595"/>
      <c r="J44" s="101">
        <v>790</v>
      </c>
    </row>
    <row r="45" spans="1:10">
      <c r="A45" s="584">
        <v>39</v>
      </c>
      <c r="B45" s="585">
        <v>330000</v>
      </c>
      <c r="C45" s="585">
        <v>2356</v>
      </c>
      <c r="E45" s="99">
        <v>810</v>
      </c>
      <c r="F45" s="100">
        <v>40</v>
      </c>
      <c r="G45" s="594">
        <f t="shared" si="0"/>
        <v>41209.5</v>
      </c>
      <c r="H45" s="594">
        <f t="shared" si="0"/>
        <v>47766.5</v>
      </c>
      <c r="I45" s="596"/>
      <c r="J45" s="101">
        <v>830</v>
      </c>
    </row>
    <row r="46" spans="1:10">
      <c r="A46" s="586">
        <v>40</v>
      </c>
      <c r="B46" s="587">
        <v>343000</v>
      </c>
      <c r="C46" s="587">
        <v>2447</v>
      </c>
      <c r="E46" s="19">
        <v>855</v>
      </c>
      <c r="F46" s="18">
        <v>41</v>
      </c>
      <c r="G46" s="598">
        <f t="shared" si="0"/>
        <v>43692</v>
      </c>
      <c r="H46" s="598">
        <f t="shared" si="0"/>
        <v>50644</v>
      </c>
      <c r="I46" s="596"/>
      <c r="J46" s="101">
        <v>880</v>
      </c>
    </row>
    <row r="47" spans="1:10">
      <c r="A47" s="582">
        <v>41</v>
      </c>
      <c r="B47" s="583">
        <v>356000</v>
      </c>
      <c r="C47" s="583">
        <v>2541</v>
      </c>
      <c r="E47" s="19">
        <v>905</v>
      </c>
      <c r="F47" s="18">
        <v>42</v>
      </c>
      <c r="G47" s="599">
        <f t="shared" si="0"/>
        <v>46174.5</v>
      </c>
      <c r="H47" s="599">
        <f t="shared" si="0"/>
        <v>53521.499999999993</v>
      </c>
      <c r="I47" s="596"/>
      <c r="J47" s="101">
        <v>930</v>
      </c>
    </row>
    <row r="48" spans="1:10">
      <c r="A48" s="584">
        <v>42</v>
      </c>
      <c r="B48" s="585">
        <v>370000</v>
      </c>
      <c r="C48" s="585">
        <v>2639</v>
      </c>
      <c r="E48" s="19">
        <v>955</v>
      </c>
      <c r="F48" s="18">
        <v>43</v>
      </c>
      <c r="G48" s="599">
        <f t="shared" si="0"/>
        <v>48657</v>
      </c>
      <c r="H48" s="599">
        <f t="shared" si="0"/>
        <v>56398.999999999993</v>
      </c>
      <c r="I48" s="596"/>
      <c r="J48" s="101">
        <v>980</v>
      </c>
    </row>
    <row r="49" spans="1:10">
      <c r="A49" s="584">
        <v>43</v>
      </c>
      <c r="B49" s="585">
        <v>384000</v>
      </c>
      <c r="C49" s="585">
        <v>2741</v>
      </c>
      <c r="E49" s="19">
        <v>1005</v>
      </c>
      <c r="F49" s="18">
        <v>44</v>
      </c>
      <c r="G49" s="599">
        <f t="shared" si="0"/>
        <v>51139.5</v>
      </c>
      <c r="H49" s="599">
        <f t="shared" si="0"/>
        <v>59276.5</v>
      </c>
      <c r="I49" s="596"/>
      <c r="J49" s="101">
        <v>1030</v>
      </c>
    </row>
    <row r="50" spans="1:10">
      <c r="A50" s="584">
        <v>44</v>
      </c>
      <c r="B50" s="585">
        <v>399000</v>
      </c>
      <c r="C50" s="585">
        <v>2846</v>
      </c>
      <c r="E50" s="19">
        <v>1055</v>
      </c>
      <c r="F50" s="18">
        <v>45</v>
      </c>
      <c r="G50" s="594">
        <f t="shared" si="0"/>
        <v>54118.5</v>
      </c>
      <c r="H50" s="594">
        <f t="shared" si="0"/>
        <v>62729.499999999993</v>
      </c>
      <c r="I50" s="596"/>
      <c r="J50" s="101">
        <v>1090</v>
      </c>
    </row>
    <row r="51" spans="1:10">
      <c r="A51" s="586">
        <v>45</v>
      </c>
      <c r="B51" s="587">
        <v>414000</v>
      </c>
      <c r="C51" s="587">
        <v>2954</v>
      </c>
      <c r="E51" s="19">
        <v>1115</v>
      </c>
      <c r="F51" s="18">
        <v>46</v>
      </c>
      <c r="G51" s="598">
        <f t="shared" si="0"/>
        <v>57097.5</v>
      </c>
      <c r="H51" s="598">
        <f t="shared" si="0"/>
        <v>66182.499999999985</v>
      </c>
      <c r="I51" s="596"/>
      <c r="J51" s="101">
        <v>1150</v>
      </c>
    </row>
    <row r="52" spans="1:10">
      <c r="A52" s="582">
        <v>46</v>
      </c>
      <c r="B52" s="583">
        <v>430000</v>
      </c>
      <c r="C52" s="583">
        <v>3070</v>
      </c>
      <c r="E52" s="19">
        <v>1175</v>
      </c>
      <c r="F52" s="18">
        <v>47</v>
      </c>
      <c r="G52" s="599">
        <f t="shared" si="0"/>
        <v>60076.5</v>
      </c>
      <c r="H52" s="599">
        <f t="shared" si="0"/>
        <v>69635.5</v>
      </c>
      <c r="I52" s="596"/>
      <c r="J52" s="101">
        <v>1210</v>
      </c>
    </row>
    <row r="53" spans="1:10">
      <c r="A53" s="584">
        <v>47</v>
      </c>
      <c r="B53" s="585">
        <v>447000</v>
      </c>
      <c r="C53" s="585">
        <v>3192</v>
      </c>
      <c r="E53" s="19"/>
      <c r="F53" s="18"/>
      <c r="G53" s="20">
        <v>4.4999999999999997E-3</v>
      </c>
    </row>
    <row r="54" spans="1:10">
      <c r="A54" s="586">
        <v>48</v>
      </c>
      <c r="B54" s="587">
        <v>465000</v>
      </c>
      <c r="C54" s="587">
        <v>3322</v>
      </c>
    </row>
    <row r="55" spans="1:10">
      <c r="A55" s="588"/>
      <c r="B55" s="589">
        <v>484000</v>
      </c>
      <c r="C55" s="590">
        <v>7.0000000000000001E-3</v>
      </c>
    </row>
  </sheetData>
  <mergeCells count="1">
    <mergeCell ref="I1:J1"/>
  </mergeCells>
  <phoneticPr fontId="9"/>
  <hyperlinks>
    <hyperlink ref="M4" r:id="rId1"/>
    <hyperlink ref="M2" r:id="rId2"/>
  </hyperlinks>
  <printOptions gridLinesSet="0"/>
  <pageMargins left="0.75" right="0.75" top="1" bottom="1" header="0.51200000000000001" footer="0.51200000000000001"/>
  <pageSetup paperSize="9" orientation="portrait"/>
  <headerFooter alignWithMargins="0">
    <oddHeader>&amp;A</oddHeader>
    <oddFooter>- &amp;P -</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nsyu" enableFormatConditionsCalculation="0">
    <tabColor indexed="13"/>
    <pageSetUpPr fitToPage="1"/>
  </sheetPr>
  <dimension ref="A1:M41"/>
  <sheetViews>
    <sheetView workbookViewId="0">
      <selection activeCell="B2" sqref="B2"/>
    </sheetView>
  </sheetViews>
  <sheetFormatPr baseColWidth="12" defaultColWidth="8.6640625" defaultRowHeight="17" x14ac:dyDescent="0"/>
  <cols>
    <col min="1" max="1" width="9.1640625" style="3" bestFit="1" customWidth="1"/>
    <col min="2" max="11" width="10.6640625" style="3" customWidth="1"/>
    <col min="12" max="12" width="9.1640625" style="3" bestFit="1" customWidth="1"/>
    <col min="13" max="13" width="8.6640625" style="3" customWidth="1"/>
    <col min="14" max="16384" width="8.6640625" style="3"/>
  </cols>
  <sheetData>
    <row r="1" spans="1:13" ht="18" thickBot="1">
      <c r="B1" s="3">
        <v>1</v>
      </c>
      <c r="C1" s="3">
        <v>2</v>
      </c>
      <c r="D1" s="3">
        <v>3</v>
      </c>
      <c r="E1" s="3">
        <v>4</v>
      </c>
      <c r="F1" s="3">
        <v>5</v>
      </c>
      <c r="G1" s="3">
        <v>6</v>
      </c>
      <c r="H1" s="3">
        <v>7</v>
      </c>
      <c r="I1" s="3">
        <v>8</v>
      </c>
      <c r="J1" s="3">
        <v>9</v>
      </c>
      <c r="K1" s="3">
        <v>10</v>
      </c>
    </row>
    <row r="2" spans="1:13">
      <c r="A2" s="75"/>
      <c r="B2" s="76" t="str">
        <f>T(給与計算!C2)</f>
        <v>A</v>
      </c>
      <c r="C2" s="76" t="str">
        <f>T(給与計算!D2)</f>
        <v>B</v>
      </c>
      <c r="D2" s="76" t="str">
        <f>T(給与計算!E2)</f>
        <v>C</v>
      </c>
      <c r="E2" s="76" t="str">
        <f>T(給与計算!F2)</f>
        <v>D</v>
      </c>
      <c r="F2" s="76" t="str">
        <f>T(給与計算!G2)</f>
        <v>E</v>
      </c>
      <c r="G2" s="76" t="str">
        <f>T(給与計算!H2)</f>
        <v/>
      </c>
      <c r="H2" s="76" t="str">
        <f>T(給与計算!I2)</f>
        <v/>
      </c>
      <c r="I2" s="76" t="str">
        <f>T(給与計算!J2)</f>
        <v/>
      </c>
      <c r="J2" s="76" t="str">
        <f>T(給与計算!K2)</f>
        <v/>
      </c>
      <c r="K2" s="76" t="str">
        <f>T(給与計算!L2)</f>
        <v/>
      </c>
      <c r="L2" s="77" t="s">
        <v>45</v>
      </c>
      <c r="M2" s="105"/>
    </row>
    <row r="3" spans="1:13">
      <c r="A3" s="4" t="s">
        <v>70</v>
      </c>
      <c r="B3" s="111" t="e">
        <f t="shared" ref="B3:E3" ca="1" si="0">IF(B19&gt;0,B19,0)</f>
        <v>#REF!</v>
      </c>
      <c r="C3" s="111" t="e">
        <f t="shared" ca="1" si="0"/>
        <v>#REF!</v>
      </c>
      <c r="D3" s="111" t="e">
        <f t="shared" ca="1" si="0"/>
        <v>#REF!</v>
      </c>
      <c r="E3" s="111" t="e">
        <f t="shared" ca="1" si="0"/>
        <v>#REF!</v>
      </c>
      <c r="F3" s="111" t="e">
        <f t="shared" ref="F3:K3" ca="1" si="1">IF(F19&gt;0,F19,0)</f>
        <v>#REF!</v>
      </c>
      <c r="G3" s="111">
        <f t="shared" ca="1" si="1"/>
        <v>0</v>
      </c>
      <c r="H3" s="111">
        <f t="shared" ca="1" si="1"/>
        <v>0</v>
      </c>
      <c r="I3" s="111">
        <f t="shared" ca="1" si="1"/>
        <v>0</v>
      </c>
      <c r="J3" s="111">
        <f t="shared" ca="1" si="1"/>
        <v>0</v>
      </c>
      <c r="K3" s="111">
        <f t="shared" ca="1" si="1"/>
        <v>0</v>
      </c>
      <c r="L3" s="112" t="e">
        <f ca="1">SUM(B3:K3)</f>
        <v>#REF!</v>
      </c>
      <c r="M3" s="103" t="e">
        <f ca="1">IF(M6=L3,"OK","NO")</f>
        <v>#REF!</v>
      </c>
    </row>
    <row r="4" spans="1:13" ht="18" thickBot="1">
      <c r="A4" s="7" t="s">
        <v>27</v>
      </c>
      <c r="B4" s="110" t="e">
        <f t="shared" ref="B4:E4" ca="1" si="2">-IF(B19&gt;0,0,B19)</f>
        <v>#REF!</v>
      </c>
      <c r="C4" s="110" t="e">
        <f t="shared" ca="1" si="2"/>
        <v>#REF!</v>
      </c>
      <c r="D4" s="110" t="e">
        <f t="shared" ca="1" si="2"/>
        <v>#REF!</v>
      </c>
      <c r="E4" s="110" t="e">
        <f t="shared" ca="1" si="2"/>
        <v>#REF!</v>
      </c>
      <c r="F4" s="110" t="e">
        <f t="shared" ref="F4:K4" ca="1" si="3">-IF(F19&gt;0,0,F19)</f>
        <v>#REF!</v>
      </c>
      <c r="G4" s="110">
        <f t="shared" ca="1" si="3"/>
        <v>0</v>
      </c>
      <c r="H4" s="110">
        <f t="shared" ca="1" si="3"/>
        <v>0</v>
      </c>
      <c r="I4" s="110">
        <f t="shared" ca="1" si="3"/>
        <v>0</v>
      </c>
      <c r="J4" s="110">
        <f t="shared" ca="1" si="3"/>
        <v>0</v>
      </c>
      <c r="K4" s="110">
        <f t="shared" ca="1" si="3"/>
        <v>0</v>
      </c>
      <c r="L4" s="109" t="e">
        <f ca="1">SUM(B4:K4)</f>
        <v>#REF!</v>
      </c>
      <c r="M4" s="103"/>
    </row>
    <row r="5" spans="1:13" ht="18" thickBot="1">
      <c r="M5" s="104"/>
    </row>
    <row r="6" spans="1:13">
      <c r="A6" s="78" t="s">
        <v>239</v>
      </c>
      <c r="B6" s="79"/>
      <c r="C6" s="79"/>
      <c r="D6" s="79"/>
      <c r="E6" s="79"/>
      <c r="F6" s="79"/>
      <c r="G6" s="79"/>
      <c r="H6" s="79"/>
      <c r="I6" s="79"/>
      <c r="J6" s="79"/>
      <c r="K6" s="79"/>
      <c r="L6" s="80" t="s">
        <v>45</v>
      </c>
      <c r="M6" s="81" t="e">
        <f ca="1">SUM(M7:M15)</f>
        <v>#REF!</v>
      </c>
    </row>
    <row r="7" spans="1:13">
      <c r="A7" s="82">
        <v>10000</v>
      </c>
      <c r="B7" s="83" t="e">
        <f t="shared" ref="B7:E7" ca="1" si="4">B22</f>
        <v>#REF!</v>
      </c>
      <c r="C7" s="83" t="e">
        <f t="shared" ca="1" si="4"/>
        <v>#REF!</v>
      </c>
      <c r="D7" s="83" t="e">
        <f t="shared" ca="1" si="4"/>
        <v>#REF!</v>
      </c>
      <c r="E7" s="83" t="e">
        <f t="shared" ca="1" si="4"/>
        <v>#REF!</v>
      </c>
      <c r="F7" s="83" t="e">
        <f t="shared" ref="F7:K7" ca="1" si="5">F22</f>
        <v>#REF!</v>
      </c>
      <c r="G7" s="83">
        <f t="shared" ca="1" si="5"/>
        <v>0</v>
      </c>
      <c r="H7" s="83">
        <f t="shared" ca="1" si="5"/>
        <v>0</v>
      </c>
      <c r="I7" s="83">
        <f t="shared" ca="1" si="5"/>
        <v>0</v>
      </c>
      <c r="J7" s="83">
        <f t="shared" ca="1" si="5"/>
        <v>0</v>
      </c>
      <c r="K7" s="83">
        <f t="shared" ca="1" si="5"/>
        <v>0</v>
      </c>
      <c r="L7" s="6" t="e">
        <f t="shared" ref="L7:L15" ca="1" si="6">SUM(B7:K7)</f>
        <v>#REF!</v>
      </c>
      <c r="M7" s="84" t="e">
        <f ca="1">L7*A7</f>
        <v>#REF!</v>
      </c>
    </row>
    <row r="8" spans="1:13">
      <c r="A8" s="82">
        <v>5000</v>
      </c>
      <c r="B8" s="83" t="e">
        <f t="shared" ref="B8:E8" ca="1" si="7">B24</f>
        <v>#REF!</v>
      </c>
      <c r="C8" s="83" t="e">
        <f t="shared" ca="1" si="7"/>
        <v>#REF!</v>
      </c>
      <c r="D8" s="83" t="e">
        <f t="shared" ca="1" si="7"/>
        <v>#REF!</v>
      </c>
      <c r="E8" s="83" t="e">
        <f t="shared" ca="1" si="7"/>
        <v>#REF!</v>
      </c>
      <c r="F8" s="83" t="e">
        <f t="shared" ref="F8:K8" ca="1" si="8">F24</f>
        <v>#REF!</v>
      </c>
      <c r="G8" s="83">
        <f t="shared" ca="1" si="8"/>
        <v>0</v>
      </c>
      <c r="H8" s="83">
        <f t="shared" ca="1" si="8"/>
        <v>0</v>
      </c>
      <c r="I8" s="83">
        <f t="shared" ca="1" si="8"/>
        <v>0</v>
      </c>
      <c r="J8" s="83">
        <f t="shared" ca="1" si="8"/>
        <v>0</v>
      </c>
      <c r="K8" s="83">
        <f t="shared" ca="1" si="8"/>
        <v>0</v>
      </c>
      <c r="L8" s="6" t="e">
        <f t="shared" ca="1" si="6"/>
        <v>#REF!</v>
      </c>
      <c r="M8" s="84" t="e">
        <f t="shared" ref="M8:M15" ca="1" si="9">L8*A8</f>
        <v>#REF!</v>
      </c>
    </row>
    <row r="9" spans="1:13">
      <c r="A9" s="82">
        <v>1000</v>
      </c>
      <c r="B9" s="83" t="e">
        <f t="shared" ref="B9:E9" ca="1" si="10">B26</f>
        <v>#REF!</v>
      </c>
      <c r="C9" s="83" t="e">
        <f t="shared" ca="1" si="10"/>
        <v>#REF!</v>
      </c>
      <c r="D9" s="83" t="e">
        <f t="shared" ca="1" si="10"/>
        <v>#REF!</v>
      </c>
      <c r="E9" s="83" t="e">
        <f t="shared" ca="1" si="10"/>
        <v>#REF!</v>
      </c>
      <c r="F9" s="83" t="e">
        <f t="shared" ref="F9:K9" ca="1" si="11">F26</f>
        <v>#REF!</v>
      </c>
      <c r="G9" s="83">
        <f t="shared" ca="1" si="11"/>
        <v>0</v>
      </c>
      <c r="H9" s="83">
        <f t="shared" ca="1" si="11"/>
        <v>0</v>
      </c>
      <c r="I9" s="83">
        <f t="shared" ca="1" si="11"/>
        <v>0</v>
      </c>
      <c r="J9" s="83">
        <f t="shared" ca="1" si="11"/>
        <v>0</v>
      </c>
      <c r="K9" s="83">
        <f t="shared" ca="1" si="11"/>
        <v>0</v>
      </c>
      <c r="L9" s="6" t="e">
        <f t="shared" ca="1" si="6"/>
        <v>#REF!</v>
      </c>
      <c r="M9" s="84" t="e">
        <f t="shared" ca="1" si="9"/>
        <v>#REF!</v>
      </c>
    </row>
    <row r="10" spans="1:13">
      <c r="A10" s="82">
        <v>500</v>
      </c>
      <c r="B10" s="83" t="e">
        <f t="shared" ref="B10:E10" ca="1" si="12">B28</f>
        <v>#REF!</v>
      </c>
      <c r="C10" s="83" t="e">
        <f t="shared" ca="1" si="12"/>
        <v>#REF!</v>
      </c>
      <c r="D10" s="83" t="e">
        <f t="shared" ca="1" si="12"/>
        <v>#REF!</v>
      </c>
      <c r="E10" s="83" t="e">
        <f t="shared" ca="1" si="12"/>
        <v>#REF!</v>
      </c>
      <c r="F10" s="83" t="e">
        <f t="shared" ref="F10:K10" ca="1" si="13">F28</f>
        <v>#REF!</v>
      </c>
      <c r="G10" s="83">
        <f t="shared" ca="1" si="13"/>
        <v>0</v>
      </c>
      <c r="H10" s="83">
        <f t="shared" ca="1" si="13"/>
        <v>0</v>
      </c>
      <c r="I10" s="83">
        <f t="shared" ca="1" si="13"/>
        <v>0</v>
      </c>
      <c r="J10" s="83">
        <f t="shared" ca="1" si="13"/>
        <v>0</v>
      </c>
      <c r="K10" s="83">
        <f t="shared" ca="1" si="13"/>
        <v>0</v>
      </c>
      <c r="L10" s="6" t="e">
        <f t="shared" ca="1" si="6"/>
        <v>#REF!</v>
      </c>
      <c r="M10" s="84" t="e">
        <f t="shared" ca="1" si="9"/>
        <v>#REF!</v>
      </c>
    </row>
    <row r="11" spans="1:13">
      <c r="A11" s="82">
        <v>100</v>
      </c>
      <c r="B11" s="83" t="e">
        <f t="shared" ref="B11:E11" ca="1" si="14">B30</f>
        <v>#REF!</v>
      </c>
      <c r="C11" s="83" t="e">
        <f t="shared" ca="1" si="14"/>
        <v>#REF!</v>
      </c>
      <c r="D11" s="83" t="e">
        <f t="shared" ca="1" si="14"/>
        <v>#REF!</v>
      </c>
      <c r="E11" s="83" t="e">
        <f t="shared" ca="1" si="14"/>
        <v>#REF!</v>
      </c>
      <c r="F11" s="83" t="e">
        <f t="shared" ref="F11:K11" ca="1" si="15">F30</f>
        <v>#REF!</v>
      </c>
      <c r="G11" s="83">
        <f t="shared" ca="1" si="15"/>
        <v>0</v>
      </c>
      <c r="H11" s="83">
        <f t="shared" ca="1" si="15"/>
        <v>0</v>
      </c>
      <c r="I11" s="83">
        <f t="shared" ca="1" si="15"/>
        <v>0</v>
      </c>
      <c r="J11" s="83">
        <f t="shared" ca="1" si="15"/>
        <v>0</v>
      </c>
      <c r="K11" s="83">
        <f t="shared" ca="1" si="15"/>
        <v>0</v>
      </c>
      <c r="L11" s="6" t="e">
        <f t="shared" ca="1" si="6"/>
        <v>#REF!</v>
      </c>
      <c r="M11" s="84" t="e">
        <f t="shared" ca="1" si="9"/>
        <v>#REF!</v>
      </c>
    </row>
    <row r="12" spans="1:13">
      <c r="A12" s="82">
        <v>50</v>
      </c>
      <c r="B12" s="83" t="e">
        <f t="shared" ref="B12:E12" ca="1" si="16">B32</f>
        <v>#REF!</v>
      </c>
      <c r="C12" s="83" t="e">
        <f t="shared" ca="1" si="16"/>
        <v>#REF!</v>
      </c>
      <c r="D12" s="83" t="e">
        <f t="shared" ca="1" si="16"/>
        <v>#REF!</v>
      </c>
      <c r="E12" s="83" t="e">
        <f t="shared" ca="1" si="16"/>
        <v>#REF!</v>
      </c>
      <c r="F12" s="83" t="e">
        <f t="shared" ref="F12:K12" ca="1" si="17">F32</f>
        <v>#REF!</v>
      </c>
      <c r="G12" s="83">
        <f t="shared" ca="1" si="17"/>
        <v>0</v>
      </c>
      <c r="H12" s="83">
        <f t="shared" ca="1" si="17"/>
        <v>0</v>
      </c>
      <c r="I12" s="83">
        <f t="shared" ca="1" si="17"/>
        <v>0</v>
      </c>
      <c r="J12" s="83">
        <f t="shared" ca="1" si="17"/>
        <v>0</v>
      </c>
      <c r="K12" s="83">
        <f t="shared" ca="1" si="17"/>
        <v>0</v>
      </c>
      <c r="L12" s="6" t="e">
        <f t="shared" ca="1" si="6"/>
        <v>#REF!</v>
      </c>
      <c r="M12" s="84" t="e">
        <f t="shared" ca="1" si="9"/>
        <v>#REF!</v>
      </c>
    </row>
    <row r="13" spans="1:13">
      <c r="A13" s="82">
        <v>10</v>
      </c>
      <c r="B13" s="83" t="e">
        <f t="shared" ref="B13:E13" ca="1" si="18">B34</f>
        <v>#REF!</v>
      </c>
      <c r="C13" s="83" t="e">
        <f t="shared" ca="1" si="18"/>
        <v>#REF!</v>
      </c>
      <c r="D13" s="83" t="e">
        <f t="shared" ca="1" si="18"/>
        <v>#REF!</v>
      </c>
      <c r="E13" s="83" t="e">
        <f t="shared" ca="1" si="18"/>
        <v>#REF!</v>
      </c>
      <c r="F13" s="83" t="e">
        <f t="shared" ref="F13:K13" ca="1" si="19">F34</f>
        <v>#REF!</v>
      </c>
      <c r="G13" s="83">
        <f t="shared" ca="1" si="19"/>
        <v>0</v>
      </c>
      <c r="H13" s="83">
        <f t="shared" ca="1" si="19"/>
        <v>0</v>
      </c>
      <c r="I13" s="83">
        <f t="shared" ca="1" si="19"/>
        <v>0</v>
      </c>
      <c r="J13" s="83">
        <f t="shared" ca="1" si="19"/>
        <v>0</v>
      </c>
      <c r="K13" s="83">
        <f t="shared" ca="1" si="19"/>
        <v>0</v>
      </c>
      <c r="L13" s="6" t="e">
        <f t="shared" ca="1" si="6"/>
        <v>#REF!</v>
      </c>
      <c r="M13" s="84" t="e">
        <f t="shared" ca="1" si="9"/>
        <v>#REF!</v>
      </c>
    </row>
    <row r="14" spans="1:13">
      <c r="A14" s="82">
        <v>5</v>
      </c>
      <c r="B14" s="83" t="e">
        <f t="shared" ref="B14:E14" ca="1" si="20">B36</f>
        <v>#REF!</v>
      </c>
      <c r="C14" s="83" t="e">
        <f t="shared" ca="1" si="20"/>
        <v>#REF!</v>
      </c>
      <c r="D14" s="83" t="e">
        <f t="shared" ca="1" si="20"/>
        <v>#REF!</v>
      </c>
      <c r="E14" s="83" t="e">
        <f t="shared" ca="1" si="20"/>
        <v>#REF!</v>
      </c>
      <c r="F14" s="83" t="e">
        <f t="shared" ref="F14:K14" ca="1" si="21">F36</f>
        <v>#REF!</v>
      </c>
      <c r="G14" s="83">
        <f t="shared" ca="1" si="21"/>
        <v>0</v>
      </c>
      <c r="H14" s="83">
        <f t="shared" ca="1" si="21"/>
        <v>0</v>
      </c>
      <c r="I14" s="83">
        <f t="shared" ca="1" si="21"/>
        <v>0</v>
      </c>
      <c r="J14" s="83">
        <f t="shared" ca="1" si="21"/>
        <v>0</v>
      </c>
      <c r="K14" s="83">
        <f t="shared" ca="1" si="21"/>
        <v>0</v>
      </c>
      <c r="L14" s="6" t="e">
        <f t="shared" ca="1" si="6"/>
        <v>#REF!</v>
      </c>
      <c r="M14" s="84" t="e">
        <f t="shared" ca="1" si="9"/>
        <v>#REF!</v>
      </c>
    </row>
    <row r="15" spans="1:13" ht="18" thickBot="1">
      <c r="A15" s="85">
        <v>1</v>
      </c>
      <c r="B15" s="86" t="e">
        <f t="shared" ref="B15:E15" ca="1" si="22">B38</f>
        <v>#REF!</v>
      </c>
      <c r="C15" s="86" t="e">
        <f t="shared" ca="1" si="22"/>
        <v>#REF!</v>
      </c>
      <c r="D15" s="86" t="e">
        <f t="shared" ca="1" si="22"/>
        <v>#REF!</v>
      </c>
      <c r="E15" s="86" t="e">
        <f t="shared" ca="1" si="22"/>
        <v>#REF!</v>
      </c>
      <c r="F15" s="86" t="e">
        <f t="shared" ref="F15:K15" ca="1" si="23">F38</f>
        <v>#REF!</v>
      </c>
      <c r="G15" s="86">
        <f t="shared" ca="1" si="23"/>
        <v>0</v>
      </c>
      <c r="H15" s="86">
        <f t="shared" ca="1" si="23"/>
        <v>0</v>
      </c>
      <c r="I15" s="86">
        <f t="shared" ca="1" si="23"/>
        <v>0</v>
      </c>
      <c r="J15" s="86">
        <f t="shared" ca="1" si="23"/>
        <v>0</v>
      </c>
      <c r="K15" s="86">
        <f t="shared" ca="1" si="23"/>
        <v>0</v>
      </c>
      <c r="L15" s="8" t="e">
        <f t="shared" ca="1" si="6"/>
        <v>#REF!</v>
      </c>
      <c r="M15" s="87" t="e">
        <f t="shared" ca="1" si="9"/>
        <v>#REF!</v>
      </c>
    </row>
    <row r="16" spans="1:13" ht="13.5" customHeight="1">
      <c r="L16" s="12"/>
    </row>
    <row r="17" spans="1:13">
      <c r="A17" s="3" t="s">
        <v>159</v>
      </c>
      <c r="B17" s="3" t="s">
        <v>159</v>
      </c>
      <c r="C17" s="3" t="s">
        <v>159</v>
      </c>
      <c r="D17" s="3" t="s">
        <v>159</v>
      </c>
      <c r="E17" s="3" t="s">
        <v>159</v>
      </c>
      <c r="F17" s="3" t="s">
        <v>159</v>
      </c>
      <c r="G17" s="3" t="s">
        <v>159</v>
      </c>
      <c r="H17" s="3" t="s">
        <v>159</v>
      </c>
      <c r="I17" s="3" t="s">
        <v>159</v>
      </c>
      <c r="J17" s="3" t="s">
        <v>159</v>
      </c>
      <c r="K17" s="3" t="s">
        <v>159</v>
      </c>
      <c r="L17" s="3" t="s">
        <v>159</v>
      </c>
    </row>
    <row r="18" spans="1:13" ht="13.5" customHeight="1">
      <c r="L18" s="12"/>
    </row>
    <row r="19" spans="1:13">
      <c r="A19" s="451" t="s">
        <v>301</v>
      </c>
      <c r="B19" s="5" t="e">
        <f ca="1">IF(B2="",0,INDIRECT(B2&amp;"!$P$44")*-1)</f>
        <v>#REF!</v>
      </c>
      <c r="C19" s="5" t="e">
        <f t="shared" ref="C19:K19" ca="1" si="24">IF(C2="",0,INDIRECT(C2&amp;"!$P$44")*-1)</f>
        <v>#REF!</v>
      </c>
      <c r="D19" s="5" t="e">
        <f t="shared" ca="1" si="24"/>
        <v>#REF!</v>
      </c>
      <c r="E19" s="5" t="e">
        <f t="shared" ca="1" si="24"/>
        <v>#REF!</v>
      </c>
      <c r="F19" s="5" t="e">
        <f t="shared" ca="1" si="24"/>
        <v>#REF!</v>
      </c>
      <c r="G19" s="5">
        <f t="shared" ca="1" si="24"/>
        <v>0</v>
      </c>
      <c r="H19" s="5">
        <f t="shared" ca="1" si="24"/>
        <v>0</v>
      </c>
      <c r="I19" s="5">
        <f t="shared" ca="1" si="24"/>
        <v>0</v>
      </c>
      <c r="J19" s="5">
        <f t="shared" ca="1" si="24"/>
        <v>0</v>
      </c>
      <c r="K19" s="5">
        <f t="shared" ca="1" si="24"/>
        <v>0</v>
      </c>
    </row>
    <row r="21" spans="1:13">
      <c r="A21" s="104" t="s">
        <v>258</v>
      </c>
      <c r="B21" s="104"/>
      <c r="C21" s="104"/>
      <c r="D21" s="104"/>
      <c r="E21" s="104"/>
      <c r="F21" s="104"/>
      <c r="G21" s="104"/>
      <c r="H21" s="104"/>
      <c r="I21" s="104"/>
      <c r="J21" s="104"/>
      <c r="K21" s="104"/>
      <c r="L21" s="104"/>
      <c r="M21" s="104"/>
    </row>
    <row r="22" spans="1:13">
      <c r="A22" s="106">
        <v>10000</v>
      </c>
      <c r="B22" s="106" t="e">
        <f t="shared" ref="B22:E22" ca="1" si="25">INT(B3/$A$22)</f>
        <v>#REF!</v>
      </c>
      <c r="C22" s="106" t="e">
        <f t="shared" ca="1" si="25"/>
        <v>#REF!</v>
      </c>
      <c r="D22" s="106" t="e">
        <f t="shared" ca="1" si="25"/>
        <v>#REF!</v>
      </c>
      <c r="E22" s="106" t="e">
        <f t="shared" ca="1" si="25"/>
        <v>#REF!</v>
      </c>
      <c r="F22" s="106" t="e">
        <f t="shared" ref="F22:K22" ca="1" si="26">INT(F3/$A$22)</f>
        <v>#REF!</v>
      </c>
      <c r="G22" s="106">
        <f t="shared" ca="1" si="26"/>
        <v>0</v>
      </c>
      <c r="H22" s="106">
        <f t="shared" ca="1" si="26"/>
        <v>0</v>
      </c>
      <c r="I22" s="106">
        <f t="shared" ca="1" si="26"/>
        <v>0</v>
      </c>
      <c r="J22" s="106">
        <f t="shared" ca="1" si="26"/>
        <v>0</v>
      </c>
      <c r="K22" s="106">
        <f t="shared" ca="1" si="26"/>
        <v>0</v>
      </c>
      <c r="L22" s="106"/>
      <c r="M22" s="106"/>
    </row>
    <row r="23" spans="1:13">
      <c r="A23" s="104"/>
      <c r="B23" s="104" t="e">
        <f t="shared" ref="B23:E23" ca="1" si="27">B3-$A$22*B22</f>
        <v>#REF!</v>
      </c>
      <c r="C23" s="104" t="e">
        <f t="shared" ca="1" si="27"/>
        <v>#REF!</v>
      </c>
      <c r="D23" s="104" t="e">
        <f t="shared" ca="1" si="27"/>
        <v>#REF!</v>
      </c>
      <c r="E23" s="104" t="e">
        <f t="shared" ca="1" si="27"/>
        <v>#REF!</v>
      </c>
      <c r="F23" s="104" t="e">
        <f t="shared" ref="F23:K23" ca="1" si="28">F3-$A$22*F22</f>
        <v>#REF!</v>
      </c>
      <c r="G23" s="104">
        <f t="shared" ca="1" si="28"/>
        <v>0</v>
      </c>
      <c r="H23" s="104">
        <f t="shared" ca="1" si="28"/>
        <v>0</v>
      </c>
      <c r="I23" s="104">
        <f t="shared" ca="1" si="28"/>
        <v>0</v>
      </c>
      <c r="J23" s="104">
        <f t="shared" ca="1" si="28"/>
        <v>0</v>
      </c>
      <c r="K23" s="104">
        <f t="shared" ca="1" si="28"/>
        <v>0</v>
      </c>
      <c r="L23" s="104"/>
      <c r="M23" s="104"/>
    </row>
    <row r="24" spans="1:13">
      <c r="A24" s="106">
        <v>5000</v>
      </c>
      <c r="B24" s="106" t="e">
        <f t="shared" ref="B24:E24" ca="1" si="29">INT(B23/$A24)</f>
        <v>#REF!</v>
      </c>
      <c r="C24" s="106" t="e">
        <f t="shared" ca="1" si="29"/>
        <v>#REF!</v>
      </c>
      <c r="D24" s="106" t="e">
        <f t="shared" ca="1" si="29"/>
        <v>#REF!</v>
      </c>
      <c r="E24" s="106" t="e">
        <f t="shared" ca="1" si="29"/>
        <v>#REF!</v>
      </c>
      <c r="F24" s="106" t="e">
        <f t="shared" ref="F24:K24" ca="1" si="30">INT(F23/$A24)</f>
        <v>#REF!</v>
      </c>
      <c r="G24" s="106">
        <f t="shared" ca="1" si="30"/>
        <v>0</v>
      </c>
      <c r="H24" s="106">
        <f t="shared" ca="1" si="30"/>
        <v>0</v>
      </c>
      <c r="I24" s="106">
        <f t="shared" ca="1" si="30"/>
        <v>0</v>
      </c>
      <c r="J24" s="106">
        <f t="shared" ca="1" si="30"/>
        <v>0</v>
      </c>
      <c r="K24" s="106">
        <f t="shared" ca="1" si="30"/>
        <v>0</v>
      </c>
      <c r="L24" s="106"/>
      <c r="M24" s="106"/>
    </row>
    <row r="25" spans="1:13">
      <c r="A25" s="104"/>
      <c r="B25" s="104" t="e">
        <f t="shared" ref="B25:E25" ca="1" si="31">B23-$A24*B24</f>
        <v>#REF!</v>
      </c>
      <c r="C25" s="104" t="e">
        <f t="shared" ca="1" si="31"/>
        <v>#REF!</v>
      </c>
      <c r="D25" s="104" t="e">
        <f t="shared" ca="1" si="31"/>
        <v>#REF!</v>
      </c>
      <c r="E25" s="104" t="e">
        <f t="shared" ca="1" si="31"/>
        <v>#REF!</v>
      </c>
      <c r="F25" s="104" t="e">
        <f t="shared" ref="F25:K25" ca="1" si="32">F23-$A24*F24</f>
        <v>#REF!</v>
      </c>
      <c r="G25" s="104">
        <f t="shared" ca="1" si="32"/>
        <v>0</v>
      </c>
      <c r="H25" s="104">
        <f t="shared" ca="1" si="32"/>
        <v>0</v>
      </c>
      <c r="I25" s="104">
        <f t="shared" ca="1" si="32"/>
        <v>0</v>
      </c>
      <c r="J25" s="104">
        <f t="shared" ca="1" si="32"/>
        <v>0</v>
      </c>
      <c r="K25" s="104">
        <f t="shared" ca="1" si="32"/>
        <v>0</v>
      </c>
      <c r="L25" s="104"/>
      <c r="M25" s="104"/>
    </row>
    <row r="26" spans="1:13">
      <c r="A26" s="106">
        <v>1000</v>
      </c>
      <c r="B26" s="106" t="e">
        <f t="shared" ref="B26:E26" ca="1" si="33">INT(B25/$A26)</f>
        <v>#REF!</v>
      </c>
      <c r="C26" s="106" t="e">
        <f t="shared" ca="1" si="33"/>
        <v>#REF!</v>
      </c>
      <c r="D26" s="106" t="e">
        <f t="shared" ca="1" si="33"/>
        <v>#REF!</v>
      </c>
      <c r="E26" s="106" t="e">
        <f t="shared" ca="1" si="33"/>
        <v>#REF!</v>
      </c>
      <c r="F26" s="106" t="e">
        <f t="shared" ref="F26:K26" ca="1" si="34">INT(F25/$A26)</f>
        <v>#REF!</v>
      </c>
      <c r="G26" s="106">
        <f t="shared" ca="1" si="34"/>
        <v>0</v>
      </c>
      <c r="H26" s="106">
        <f t="shared" ca="1" si="34"/>
        <v>0</v>
      </c>
      <c r="I26" s="106">
        <f t="shared" ca="1" si="34"/>
        <v>0</v>
      </c>
      <c r="J26" s="106">
        <f t="shared" ca="1" si="34"/>
        <v>0</v>
      </c>
      <c r="K26" s="106">
        <f t="shared" ca="1" si="34"/>
        <v>0</v>
      </c>
      <c r="L26" s="106"/>
      <c r="M26" s="106"/>
    </row>
    <row r="27" spans="1:13">
      <c r="A27" s="104"/>
      <c r="B27" s="104" t="e">
        <f t="shared" ref="B27:E27" ca="1" si="35">B25-$A26*B26</f>
        <v>#REF!</v>
      </c>
      <c r="C27" s="104" t="e">
        <f t="shared" ca="1" si="35"/>
        <v>#REF!</v>
      </c>
      <c r="D27" s="104" t="e">
        <f t="shared" ca="1" si="35"/>
        <v>#REF!</v>
      </c>
      <c r="E27" s="104" t="e">
        <f t="shared" ca="1" si="35"/>
        <v>#REF!</v>
      </c>
      <c r="F27" s="104" t="e">
        <f t="shared" ref="F27:K27" ca="1" si="36">F25-$A26*F26</f>
        <v>#REF!</v>
      </c>
      <c r="G27" s="104">
        <f t="shared" ca="1" si="36"/>
        <v>0</v>
      </c>
      <c r="H27" s="104">
        <f t="shared" ca="1" si="36"/>
        <v>0</v>
      </c>
      <c r="I27" s="104">
        <f t="shared" ca="1" si="36"/>
        <v>0</v>
      </c>
      <c r="J27" s="104">
        <f t="shared" ca="1" si="36"/>
        <v>0</v>
      </c>
      <c r="K27" s="104">
        <f t="shared" ca="1" si="36"/>
        <v>0</v>
      </c>
      <c r="L27" s="104"/>
      <c r="M27" s="104"/>
    </row>
    <row r="28" spans="1:13">
      <c r="A28" s="106">
        <v>500</v>
      </c>
      <c r="B28" s="106" t="e">
        <f t="shared" ref="B28:E28" ca="1" si="37">INT(B27/$A28)</f>
        <v>#REF!</v>
      </c>
      <c r="C28" s="106" t="e">
        <f t="shared" ca="1" si="37"/>
        <v>#REF!</v>
      </c>
      <c r="D28" s="106" t="e">
        <f t="shared" ca="1" si="37"/>
        <v>#REF!</v>
      </c>
      <c r="E28" s="106" t="e">
        <f t="shared" ca="1" si="37"/>
        <v>#REF!</v>
      </c>
      <c r="F28" s="106" t="e">
        <f t="shared" ref="F28:K28" ca="1" si="38">INT(F27/$A28)</f>
        <v>#REF!</v>
      </c>
      <c r="G28" s="106">
        <f t="shared" ca="1" si="38"/>
        <v>0</v>
      </c>
      <c r="H28" s="106">
        <f t="shared" ca="1" si="38"/>
        <v>0</v>
      </c>
      <c r="I28" s="106">
        <f t="shared" ca="1" si="38"/>
        <v>0</v>
      </c>
      <c r="J28" s="106">
        <f t="shared" ca="1" si="38"/>
        <v>0</v>
      </c>
      <c r="K28" s="106">
        <f t="shared" ca="1" si="38"/>
        <v>0</v>
      </c>
      <c r="L28" s="106"/>
      <c r="M28" s="106"/>
    </row>
    <row r="29" spans="1:13">
      <c r="A29" s="104"/>
      <c r="B29" s="104" t="e">
        <f t="shared" ref="B29:E29" ca="1" si="39">B27-$A28*B28</f>
        <v>#REF!</v>
      </c>
      <c r="C29" s="104" t="e">
        <f t="shared" ca="1" si="39"/>
        <v>#REF!</v>
      </c>
      <c r="D29" s="104" t="e">
        <f t="shared" ca="1" si="39"/>
        <v>#REF!</v>
      </c>
      <c r="E29" s="104" t="e">
        <f t="shared" ca="1" si="39"/>
        <v>#REF!</v>
      </c>
      <c r="F29" s="104" t="e">
        <f t="shared" ref="F29:K29" ca="1" si="40">F27-$A28*F28</f>
        <v>#REF!</v>
      </c>
      <c r="G29" s="104">
        <f t="shared" ca="1" si="40"/>
        <v>0</v>
      </c>
      <c r="H29" s="104">
        <f t="shared" ca="1" si="40"/>
        <v>0</v>
      </c>
      <c r="I29" s="104">
        <f t="shared" ca="1" si="40"/>
        <v>0</v>
      </c>
      <c r="J29" s="104">
        <f t="shared" ca="1" si="40"/>
        <v>0</v>
      </c>
      <c r="K29" s="104">
        <f t="shared" ca="1" si="40"/>
        <v>0</v>
      </c>
      <c r="L29" s="104"/>
      <c r="M29" s="104"/>
    </row>
    <row r="30" spans="1:13">
      <c r="A30" s="106">
        <v>100</v>
      </c>
      <c r="B30" s="106" t="e">
        <f t="shared" ref="B30:E30" ca="1" si="41">INT(B29/$A30)</f>
        <v>#REF!</v>
      </c>
      <c r="C30" s="106" t="e">
        <f t="shared" ca="1" si="41"/>
        <v>#REF!</v>
      </c>
      <c r="D30" s="106" t="e">
        <f t="shared" ca="1" si="41"/>
        <v>#REF!</v>
      </c>
      <c r="E30" s="106" t="e">
        <f t="shared" ca="1" si="41"/>
        <v>#REF!</v>
      </c>
      <c r="F30" s="106" t="e">
        <f t="shared" ref="F30:K30" ca="1" si="42">INT(F29/$A30)</f>
        <v>#REF!</v>
      </c>
      <c r="G30" s="106">
        <f t="shared" ca="1" si="42"/>
        <v>0</v>
      </c>
      <c r="H30" s="106">
        <f t="shared" ca="1" si="42"/>
        <v>0</v>
      </c>
      <c r="I30" s="106">
        <f t="shared" ca="1" si="42"/>
        <v>0</v>
      </c>
      <c r="J30" s="106">
        <f t="shared" ca="1" si="42"/>
        <v>0</v>
      </c>
      <c r="K30" s="106">
        <f t="shared" ca="1" si="42"/>
        <v>0</v>
      </c>
      <c r="L30" s="106"/>
      <c r="M30" s="106"/>
    </row>
    <row r="31" spans="1:13">
      <c r="A31" s="104"/>
      <c r="B31" s="104" t="e">
        <f t="shared" ref="B31:E31" ca="1" si="43">B29-$A30*B30</f>
        <v>#REF!</v>
      </c>
      <c r="C31" s="104" t="e">
        <f t="shared" ca="1" si="43"/>
        <v>#REF!</v>
      </c>
      <c r="D31" s="104" t="e">
        <f t="shared" ca="1" si="43"/>
        <v>#REF!</v>
      </c>
      <c r="E31" s="104" t="e">
        <f t="shared" ca="1" si="43"/>
        <v>#REF!</v>
      </c>
      <c r="F31" s="104" t="e">
        <f t="shared" ref="F31:K31" ca="1" si="44">F29-$A30*F30</f>
        <v>#REF!</v>
      </c>
      <c r="G31" s="104">
        <f t="shared" ca="1" si="44"/>
        <v>0</v>
      </c>
      <c r="H31" s="104">
        <f t="shared" ca="1" si="44"/>
        <v>0</v>
      </c>
      <c r="I31" s="104">
        <f t="shared" ca="1" si="44"/>
        <v>0</v>
      </c>
      <c r="J31" s="104">
        <f t="shared" ca="1" si="44"/>
        <v>0</v>
      </c>
      <c r="K31" s="104">
        <f t="shared" ca="1" si="44"/>
        <v>0</v>
      </c>
      <c r="L31" s="104"/>
      <c r="M31" s="104"/>
    </row>
    <row r="32" spans="1:13">
      <c r="A32" s="106">
        <v>50</v>
      </c>
      <c r="B32" s="106" t="e">
        <f t="shared" ref="B32:E32" ca="1" si="45">INT(B31/$A32)</f>
        <v>#REF!</v>
      </c>
      <c r="C32" s="106" t="e">
        <f t="shared" ca="1" si="45"/>
        <v>#REF!</v>
      </c>
      <c r="D32" s="106" t="e">
        <f t="shared" ca="1" si="45"/>
        <v>#REF!</v>
      </c>
      <c r="E32" s="106" t="e">
        <f t="shared" ca="1" si="45"/>
        <v>#REF!</v>
      </c>
      <c r="F32" s="106" t="e">
        <f t="shared" ref="F32:K32" ca="1" si="46">INT(F31/$A32)</f>
        <v>#REF!</v>
      </c>
      <c r="G32" s="106">
        <f t="shared" ca="1" si="46"/>
        <v>0</v>
      </c>
      <c r="H32" s="106">
        <f t="shared" ca="1" si="46"/>
        <v>0</v>
      </c>
      <c r="I32" s="106">
        <f t="shared" ca="1" si="46"/>
        <v>0</v>
      </c>
      <c r="J32" s="106">
        <f t="shared" ca="1" si="46"/>
        <v>0</v>
      </c>
      <c r="K32" s="106">
        <f t="shared" ca="1" si="46"/>
        <v>0</v>
      </c>
      <c r="L32" s="106"/>
      <c r="M32" s="106"/>
    </row>
    <row r="33" spans="1:13">
      <c r="A33" s="104"/>
      <c r="B33" s="104" t="e">
        <f t="shared" ref="B33:E33" ca="1" si="47">B31-$A32*B32</f>
        <v>#REF!</v>
      </c>
      <c r="C33" s="104" t="e">
        <f t="shared" ca="1" si="47"/>
        <v>#REF!</v>
      </c>
      <c r="D33" s="104" t="e">
        <f t="shared" ca="1" si="47"/>
        <v>#REF!</v>
      </c>
      <c r="E33" s="104" t="e">
        <f t="shared" ca="1" si="47"/>
        <v>#REF!</v>
      </c>
      <c r="F33" s="104" t="e">
        <f t="shared" ref="F33:K33" ca="1" si="48">F31-$A32*F32</f>
        <v>#REF!</v>
      </c>
      <c r="G33" s="104">
        <f t="shared" ca="1" si="48"/>
        <v>0</v>
      </c>
      <c r="H33" s="104">
        <f t="shared" ca="1" si="48"/>
        <v>0</v>
      </c>
      <c r="I33" s="104">
        <f t="shared" ca="1" si="48"/>
        <v>0</v>
      </c>
      <c r="J33" s="104">
        <f t="shared" ca="1" si="48"/>
        <v>0</v>
      </c>
      <c r="K33" s="104">
        <f t="shared" ca="1" si="48"/>
        <v>0</v>
      </c>
      <c r="L33" s="104"/>
      <c r="M33" s="104"/>
    </row>
    <row r="34" spans="1:13">
      <c r="A34" s="106">
        <v>10</v>
      </c>
      <c r="B34" s="106" t="e">
        <f t="shared" ref="B34:E34" ca="1" si="49">INT(B33/$A34)</f>
        <v>#REF!</v>
      </c>
      <c r="C34" s="106" t="e">
        <f t="shared" ca="1" si="49"/>
        <v>#REF!</v>
      </c>
      <c r="D34" s="106" t="e">
        <f t="shared" ca="1" si="49"/>
        <v>#REF!</v>
      </c>
      <c r="E34" s="106" t="e">
        <f t="shared" ca="1" si="49"/>
        <v>#REF!</v>
      </c>
      <c r="F34" s="106" t="e">
        <f t="shared" ref="F34:K34" ca="1" si="50">INT(F33/$A34)</f>
        <v>#REF!</v>
      </c>
      <c r="G34" s="106">
        <f t="shared" ca="1" si="50"/>
        <v>0</v>
      </c>
      <c r="H34" s="106">
        <f t="shared" ca="1" si="50"/>
        <v>0</v>
      </c>
      <c r="I34" s="106">
        <f t="shared" ca="1" si="50"/>
        <v>0</v>
      </c>
      <c r="J34" s="106">
        <f t="shared" ca="1" si="50"/>
        <v>0</v>
      </c>
      <c r="K34" s="106">
        <f t="shared" ca="1" si="50"/>
        <v>0</v>
      </c>
      <c r="L34" s="106"/>
      <c r="M34" s="106"/>
    </row>
    <row r="35" spans="1:13">
      <c r="A35" s="104"/>
      <c r="B35" s="104" t="e">
        <f t="shared" ref="B35:E35" ca="1" si="51">B33-$A34*B34</f>
        <v>#REF!</v>
      </c>
      <c r="C35" s="104" t="e">
        <f t="shared" ca="1" si="51"/>
        <v>#REF!</v>
      </c>
      <c r="D35" s="104" t="e">
        <f t="shared" ca="1" si="51"/>
        <v>#REF!</v>
      </c>
      <c r="E35" s="104" t="e">
        <f t="shared" ca="1" si="51"/>
        <v>#REF!</v>
      </c>
      <c r="F35" s="104" t="e">
        <f t="shared" ref="F35:K35" ca="1" si="52">F33-$A34*F34</f>
        <v>#REF!</v>
      </c>
      <c r="G35" s="104">
        <f t="shared" ca="1" si="52"/>
        <v>0</v>
      </c>
      <c r="H35" s="104">
        <f t="shared" ca="1" si="52"/>
        <v>0</v>
      </c>
      <c r="I35" s="104">
        <f t="shared" ca="1" si="52"/>
        <v>0</v>
      </c>
      <c r="J35" s="104">
        <f t="shared" ca="1" si="52"/>
        <v>0</v>
      </c>
      <c r="K35" s="104">
        <f t="shared" ca="1" si="52"/>
        <v>0</v>
      </c>
      <c r="L35" s="104"/>
      <c r="M35" s="104"/>
    </row>
    <row r="36" spans="1:13">
      <c r="A36" s="106">
        <v>5</v>
      </c>
      <c r="B36" s="106" t="e">
        <f t="shared" ref="B36:E36" ca="1" si="53">INT(B35/$A36)</f>
        <v>#REF!</v>
      </c>
      <c r="C36" s="106" t="e">
        <f t="shared" ca="1" si="53"/>
        <v>#REF!</v>
      </c>
      <c r="D36" s="106" t="e">
        <f t="shared" ca="1" si="53"/>
        <v>#REF!</v>
      </c>
      <c r="E36" s="106" t="e">
        <f t="shared" ca="1" si="53"/>
        <v>#REF!</v>
      </c>
      <c r="F36" s="106" t="e">
        <f t="shared" ref="F36:K36" ca="1" si="54">INT(F35/$A36)</f>
        <v>#REF!</v>
      </c>
      <c r="G36" s="106">
        <f t="shared" ca="1" si="54"/>
        <v>0</v>
      </c>
      <c r="H36" s="106">
        <f t="shared" ca="1" si="54"/>
        <v>0</v>
      </c>
      <c r="I36" s="106">
        <f t="shared" ca="1" si="54"/>
        <v>0</v>
      </c>
      <c r="J36" s="106">
        <f t="shared" ca="1" si="54"/>
        <v>0</v>
      </c>
      <c r="K36" s="106">
        <f t="shared" ca="1" si="54"/>
        <v>0</v>
      </c>
      <c r="L36" s="106"/>
      <c r="M36" s="106"/>
    </row>
    <row r="37" spans="1:13">
      <c r="A37" s="104"/>
      <c r="B37" s="104" t="e">
        <f t="shared" ref="B37:E37" ca="1" si="55">B35-$A36*B36</f>
        <v>#REF!</v>
      </c>
      <c r="C37" s="104" t="e">
        <f t="shared" ca="1" si="55"/>
        <v>#REF!</v>
      </c>
      <c r="D37" s="104" t="e">
        <f t="shared" ca="1" si="55"/>
        <v>#REF!</v>
      </c>
      <c r="E37" s="104" t="e">
        <f t="shared" ca="1" si="55"/>
        <v>#REF!</v>
      </c>
      <c r="F37" s="104" t="e">
        <f t="shared" ref="F37:K37" ca="1" si="56">F35-$A36*F36</f>
        <v>#REF!</v>
      </c>
      <c r="G37" s="104">
        <f t="shared" ca="1" si="56"/>
        <v>0</v>
      </c>
      <c r="H37" s="104">
        <f t="shared" ca="1" si="56"/>
        <v>0</v>
      </c>
      <c r="I37" s="104">
        <f t="shared" ca="1" si="56"/>
        <v>0</v>
      </c>
      <c r="J37" s="104">
        <f t="shared" ca="1" si="56"/>
        <v>0</v>
      </c>
      <c r="K37" s="104">
        <f t="shared" ca="1" si="56"/>
        <v>0</v>
      </c>
      <c r="L37" s="104"/>
      <c r="M37" s="104"/>
    </row>
    <row r="38" spans="1:13">
      <c r="A38" s="106">
        <v>1</v>
      </c>
      <c r="B38" s="106" t="e">
        <f t="shared" ref="B38:E38" ca="1" si="57">INT(B37/$A38)</f>
        <v>#REF!</v>
      </c>
      <c r="C38" s="106" t="e">
        <f t="shared" ca="1" si="57"/>
        <v>#REF!</v>
      </c>
      <c r="D38" s="106" t="e">
        <f t="shared" ca="1" si="57"/>
        <v>#REF!</v>
      </c>
      <c r="E38" s="106" t="e">
        <f t="shared" ca="1" si="57"/>
        <v>#REF!</v>
      </c>
      <c r="F38" s="106" t="e">
        <f t="shared" ref="F38:K38" ca="1" si="58">INT(F37/$A38)</f>
        <v>#REF!</v>
      </c>
      <c r="G38" s="106">
        <f t="shared" ca="1" si="58"/>
        <v>0</v>
      </c>
      <c r="H38" s="106">
        <f t="shared" ca="1" si="58"/>
        <v>0</v>
      </c>
      <c r="I38" s="106">
        <f t="shared" ca="1" si="58"/>
        <v>0</v>
      </c>
      <c r="J38" s="106">
        <f t="shared" ca="1" si="58"/>
        <v>0</v>
      </c>
      <c r="K38" s="106">
        <f t="shared" ca="1" si="58"/>
        <v>0</v>
      </c>
      <c r="L38" s="106"/>
      <c r="M38" s="106"/>
    </row>
    <row r="39" spans="1:13">
      <c r="A39" s="104"/>
      <c r="B39" s="108" t="e">
        <f t="shared" ref="B39:E39" ca="1" si="59">B37-$A38*B38</f>
        <v>#REF!</v>
      </c>
      <c r="C39" s="108" t="e">
        <f t="shared" ca="1" si="59"/>
        <v>#REF!</v>
      </c>
      <c r="D39" s="108" t="e">
        <f t="shared" ca="1" si="59"/>
        <v>#REF!</v>
      </c>
      <c r="E39" s="108" t="e">
        <f t="shared" ca="1" si="59"/>
        <v>#REF!</v>
      </c>
      <c r="F39" s="108" t="e">
        <f t="shared" ref="F39:K39" ca="1" si="60">F37-$A38*F38</f>
        <v>#REF!</v>
      </c>
      <c r="G39" s="108">
        <f t="shared" ca="1" si="60"/>
        <v>0</v>
      </c>
      <c r="H39" s="108">
        <f t="shared" ca="1" si="60"/>
        <v>0</v>
      </c>
      <c r="I39" s="108">
        <f t="shared" ca="1" si="60"/>
        <v>0</v>
      </c>
      <c r="J39" s="108">
        <f t="shared" ca="1" si="60"/>
        <v>0</v>
      </c>
      <c r="K39" s="108">
        <f t="shared" ca="1" si="60"/>
        <v>0</v>
      </c>
      <c r="L39" s="104"/>
      <c r="M39" s="104"/>
    </row>
    <row r="40" spans="1:13">
      <c r="A40" s="104"/>
      <c r="B40" s="104"/>
      <c r="C40" s="104"/>
      <c r="D40" s="104"/>
      <c r="E40" s="104"/>
      <c r="F40" s="104"/>
      <c r="G40" s="104"/>
      <c r="H40" s="104"/>
      <c r="I40" s="104"/>
      <c r="J40" s="104"/>
      <c r="K40" s="104"/>
      <c r="L40" s="107"/>
      <c r="M40" s="104"/>
    </row>
    <row r="41" spans="1:13">
      <c r="A41" s="104"/>
      <c r="B41" s="104"/>
      <c r="C41" s="104"/>
      <c r="D41" s="104"/>
      <c r="E41" s="104"/>
      <c r="F41" s="104"/>
      <c r="G41" s="104"/>
      <c r="H41" s="104"/>
      <c r="I41" s="104"/>
      <c r="J41" s="104"/>
      <c r="K41" s="104"/>
      <c r="L41" s="104"/>
      <c r="M41" s="104"/>
    </row>
  </sheetData>
  <phoneticPr fontId="9"/>
  <pageMargins left="0.78740157480314965" right="0.78740157480314965" top="0.98425196850393704" bottom="0.98425196850393704" header="0.51181102362204722" footer="0.51181102362204722"/>
  <pageSetup paperSize="13" scale="83" orientation="landscape" horizontalDpi="1200" verticalDpi="1200"/>
  <headerFooter alignWithMargins="0">
    <oddHeader>&amp;A</oddHeader>
    <oddFooter>&amp;C株式会社○○△△</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説明書</vt:lpstr>
      <vt:lpstr>従業者名簿</vt:lpstr>
      <vt:lpstr>給与計算</vt:lpstr>
      <vt:lpstr>給与明細</vt:lpstr>
      <vt:lpstr>賞与計算</vt:lpstr>
      <vt:lpstr>賞与明細</vt:lpstr>
      <vt:lpstr>振替伝票</vt:lpstr>
      <vt:lpstr>保険料額表</vt:lpstr>
      <vt:lpstr>年末調整金種計算</vt:lpstr>
      <vt:lpstr>台帳合計表</vt:lpstr>
      <vt:lpstr>台帳原本</vt:lpstr>
      <vt:lpstr>賞与算出表</vt:lpstr>
      <vt:lpstr>年末調整計算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給与計算</dc:title>
  <dc:creator>Hideki Yamamoto</dc:creator>
  <cp:lastModifiedBy>山本 秀樹</cp:lastModifiedBy>
  <cp:lastPrinted>2015-09-05T23:53:42Z</cp:lastPrinted>
  <dcterms:created xsi:type="dcterms:W3CDTF">1998-10-19T13:11:51Z</dcterms:created>
  <dcterms:modified xsi:type="dcterms:W3CDTF">2015-09-05T23:54:13Z</dcterms:modified>
</cp:coreProperties>
</file>